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EJECUCION PRESUPUESTAL 2021-2025\EJECUCION PRESUPUESTAL 2026\EJECUCION ENERO-DICIEMBRE 2026 Y EL PORTAL\"/>
    </mc:Choice>
  </mc:AlternateContent>
  <bookViews>
    <workbookView xWindow="-120" yWindow="-120" windowWidth="24240" windowHeight="13140"/>
  </bookViews>
  <sheets>
    <sheet name="JUNIO 2026" sheetId="1" r:id="rId1"/>
  </sheets>
  <definedNames>
    <definedName name="_xlnm.Print_Area" localSheetId="0">'JUNIO 2026'!$A$3:$N$179</definedName>
    <definedName name="_xlnm.Print_Titles" localSheetId="0">'JUNIO 2026'!$3:$9</definedName>
  </definedNames>
  <calcPr calcId="162913"/>
</workbook>
</file>

<file path=xl/calcChain.xml><?xml version="1.0" encoding="utf-8"?>
<calcChain xmlns="http://schemas.openxmlformats.org/spreadsheetml/2006/main">
  <c r="N155" i="1" l="1"/>
  <c r="O155" i="1" s="1"/>
  <c r="N154" i="1"/>
  <c r="O154" i="1" s="1"/>
  <c r="N153" i="1"/>
  <c r="O153" i="1" s="1"/>
  <c r="O152" i="1" s="1"/>
  <c r="N152" i="1"/>
  <c r="M152" i="1"/>
  <c r="L152" i="1"/>
  <c r="K152" i="1"/>
  <c r="J152" i="1"/>
  <c r="I152" i="1"/>
  <c r="H152" i="1"/>
  <c r="G152" i="1"/>
  <c r="O151" i="1"/>
  <c r="H150" i="1"/>
  <c r="N149" i="1"/>
  <c r="O149" i="1" s="1"/>
  <c r="M148" i="1"/>
  <c r="G148" i="1"/>
  <c r="G139" i="1" s="1"/>
  <c r="N147" i="1"/>
  <c r="N146" i="1"/>
  <c r="O146" i="1" s="1"/>
  <c r="O145" i="1"/>
  <c r="N145" i="1"/>
  <c r="N144" i="1"/>
  <c r="O144" i="1" s="1"/>
  <c r="M143" i="1"/>
  <c r="M140" i="1" s="1"/>
  <c r="M139" i="1" s="1"/>
  <c r="N142" i="1"/>
  <c r="O142" i="1" s="1"/>
  <c r="H141" i="1"/>
  <c r="H140" i="1" s="1"/>
  <c r="H139" i="1" s="1"/>
  <c r="G141" i="1"/>
  <c r="L140" i="1"/>
  <c r="K140" i="1"/>
  <c r="J140" i="1"/>
  <c r="I140" i="1"/>
  <c r="G140" i="1"/>
  <c r="N138" i="1"/>
  <c r="N137" i="1"/>
  <c r="O137" i="1" s="1"/>
  <c r="L136" i="1"/>
  <c r="L131" i="1" s="1"/>
  <c r="K136" i="1"/>
  <c r="J136" i="1"/>
  <c r="I136" i="1"/>
  <c r="N135" i="1"/>
  <c r="O135" i="1" s="1"/>
  <c r="K134" i="1"/>
  <c r="J134" i="1"/>
  <c r="I134" i="1"/>
  <c r="H134" i="1"/>
  <c r="M133" i="1"/>
  <c r="M131" i="1" s="1"/>
  <c r="I133" i="1"/>
  <c r="H133" i="1"/>
  <c r="N133" i="1" s="1"/>
  <c r="O133" i="1" s="1"/>
  <c r="N132" i="1"/>
  <c r="G131" i="1"/>
  <c r="O129" i="1"/>
  <c r="O128" i="1" s="1"/>
  <c r="O127" i="1" s="1"/>
  <c r="N129" i="1"/>
  <c r="N128" i="1"/>
  <c r="M128" i="1"/>
  <c r="M127" i="1" s="1"/>
  <c r="L128" i="1"/>
  <c r="K128" i="1"/>
  <c r="K127" i="1" s="1"/>
  <c r="J128" i="1"/>
  <c r="J127" i="1" s="1"/>
  <c r="I128" i="1"/>
  <c r="I127" i="1" s="1"/>
  <c r="H128" i="1"/>
  <c r="G128" i="1"/>
  <c r="G127" i="1" s="1"/>
  <c r="N127" i="1"/>
  <c r="L127" i="1"/>
  <c r="H127" i="1"/>
  <c r="N125" i="1"/>
  <c r="O125" i="1" s="1"/>
  <c r="N124" i="1"/>
  <c r="O124" i="1" s="1"/>
  <c r="N123" i="1"/>
  <c r="O123" i="1" s="1"/>
  <c r="N122" i="1"/>
  <c r="M121" i="1"/>
  <c r="L121" i="1"/>
  <c r="K121" i="1"/>
  <c r="J121" i="1"/>
  <c r="I121" i="1"/>
  <c r="H121" i="1"/>
  <c r="G121" i="1"/>
  <c r="N119" i="1"/>
  <c r="M118" i="1"/>
  <c r="L118" i="1"/>
  <c r="K118" i="1"/>
  <c r="J118" i="1"/>
  <c r="I118" i="1"/>
  <c r="H118" i="1"/>
  <c r="G118" i="1"/>
  <c r="O117" i="1"/>
  <c r="N116" i="1"/>
  <c r="O116" i="1" s="1"/>
  <c r="N115" i="1"/>
  <c r="O115" i="1" s="1"/>
  <c r="O114" i="1" s="1"/>
  <c r="G115" i="1"/>
  <c r="I114" i="1"/>
  <c r="H114" i="1"/>
  <c r="G114" i="1"/>
  <c r="M111" i="1"/>
  <c r="L111" i="1"/>
  <c r="L109" i="1" s="1"/>
  <c r="K111" i="1"/>
  <c r="K109" i="1" s="1"/>
  <c r="J111" i="1"/>
  <c r="I111" i="1"/>
  <c r="H111" i="1"/>
  <c r="M109" i="1"/>
  <c r="J109" i="1"/>
  <c r="I109" i="1"/>
  <c r="G109" i="1"/>
  <c r="M107" i="1"/>
  <c r="L107" i="1"/>
  <c r="K107" i="1"/>
  <c r="K102" i="1" s="1"/>
  <c r="J107" i="1"/>
  <c r="I107" i="1"/>
  <c r="I102" i="1" s="1"/>
  <c r="H107" i="1"/>
  <c r="M106" i="1"/>
  <c r="N105" i="1"/>
  <c r="O105" i="1" s="1"/>
  <c r="N104" i="1"/>
  <c r="O104" i="1" s="1"/>
  <c r="N103" i="1"/>
  <c r="O103" i="1" s="1"/>
  <c r="L102" i="1"/>
  <c r="J102" i="1"/>
  <c r="H102" i="1"/>
  <c r="G102" i="1"/>
  <c r="K100" i="1"/>
  <c r="N100" i="1" s="1"/>
  <c r="O100" i="1" s="1"/>
  <c r="L99" i="1"/>
  <c r="I99" i="1"/>
  <c r="M98" i="1"/>
  <c r="M96" i="1" s="1"/>
  <c r="L98" i="1"/>
  <c r="L96" i="1" s="1"/>
  <c r="L92" i="1" s="1"/>
  <c r="K98" i="1"/>
  <c r="H98" i="1"/>
  <c r="L97" i="1"/>
  <c r="K97" i="1"/>
  <c r="K96" i="1" s="1"/>
  <c r="K92" i="1" s="1"/>
  <c r="I97" i="1"/>
  <c r="H97" i="1"/>
  <c r="J96" i="1"/>
  <c r="J92" i="1" s="1"/>
  <c r="I96" i="1"/>
  <c r="H96" i="1"/>
  <c r="G96" i="1"/>
  <c r="N94" i="1"/>
  <c r="O94" i="1" s="1"/>
  <c r="K93" i="1"/>
  <c r="I93" i="1"/>
  <c r="H93" i="1"/>
  <c r="G92" i="1"/>
  <c r="M90" i="1"/>
  <c r="L90" i="1"/>
  <c r="L84" i="1" s="1"/>
  <c r="K90" i="1"/>
  <c r="K85" i="1" s="1"/>
  <c r="J90" i="1"/>
  <c r="J84" i="1" s="1"/>
  <c r="I90" i="1"/>
  <c r="H90" i="1"/>
  <c r="H84" i="1" s="1"/>
  <c r="N89" i="1"/>
  <c r="O89" i="1" s="1"/>
  <c r="N88" i="1"/>
  <c r="O88" i="1" s="1"/>
  <c r="N87" i="1"/>
  <c r="O87" i="1" s="1"/>
  <c r="N86" i="1"/>
  <c r="O86" i="1" s="1"/>
  <c r="M85" i="1"/>
  <c r="L85" i="1"/>
  <c r="I85" i="1"/>
  <c r="H85" i="1"/>
  <c r="G85" i="1"/>
  <c r="M84" i="1"/>
  <c r="I84" i="1"/>
  <c r="G84" i="1"/>
  <c r="N82" i="1"/>
  <c r="O82" i="1" s="1"/>
  <c r="I82" i="1"/>
  <c r="I81" i="1"/>
  <c r="N81" i="1" s="1"/>
  <c r="O81" i="1" s="1"/>
  <c r="N80" i="1"/>
  <c r="M80" i="1"/>
  <c r="L80" i="1"/>
  <c r="K80" i="1"/>
  <c r="J80" i="1"/>
  <c r="H80" i="1"/>
  <c r="G80" i="1"/>
  <c r="N78" i="1"/>
  <c r="O78" i="1" s="1"/>
  <c r="N77" i="1"/>
  <c r="O77" i="1" s="1"/>
  <c r="N76" i="1"/>
  <c r="N75" i="1" s="1"/>
  <c r="M75" i="1"/>
  <c r="L75" i="1"/>
  <c r="K75" i="1"/>
  <c r="K72" i="1" s="1"/>
  <c r="J75" i="1"/>
  <c r="I75" i="1"/>
  <c r="H75" i="1"/>
  <c r="G75" i="1"/>
  <c r="M73" i="1"/>
  <c r="L73" i="1"/>
  <c r="L72" i="1" s="1"/>
  <c r="K73" i="1"/>
  <c r="J73" i="1"/>
  <c r="I73" i="1"/>
  <c r="H73" i="1"/>
  <c r="H72" i="1"/>
  <c r="G72" i="1"/>
  <c r="N70" i="1"/>
  <c r="O70" i="1" s="1"/>
  <c r="K69" i="1"/>
  <c r="K68" i="1" s="1"/>
  <c r="J69" i="1"/>
  <c r="J68" i="1" s="1"/>
  <c r="I69" i="1"/>
  <c r="H69" i="1"/>
  <c r="M68" i="1"/>
  <c r="L68" i="1"/>
  <c r="I68" i="1"/>
  <c r="H68" i="1"/>
  <c r="G68" i="1"/>
  <c r="N66" i="1"/>
  <c r="O66" i="1" s="1"/>
  <c r="M65" i="1"/>
  <c r="L65" i="1"/>
  <c r="J65" i="1"/>
  <c r="J64" i="1" s="1"/>
  <c r="H65" i="1"/>
  <c r="M64" i="1"/>
  <c r="L64" i="1"/>
  <c r="K64" i="1"/>
  <c r="I64" i="1"/>
  <c r="H64" i="1"/>
  <c r="G64" i="1"/>
  <c r="M62" i="1"/>
  <c r="I62" i="1"/>
  <c r="H61" i="1"/>
  <c r="N61" i="1" s="1"/>
  <c r="L60" i="1"/>
  <c r="K60" i="1"/>
  <c r="J60" i="1"/>
  <c r="I60" i="1"/>
  <c r="G60" i="1"/>
  <c r="N58" i="1"/>
  <c r="N57" i="1" s="1"/>
  <c r="M57" i="1"/>
  <c r="L57" i="1"/>
  <c r="K57" i="1"/>
  <c r="K52" i="1" s="1"/>
  <c r="J57" i="1"/>
  <c r="I57" i="1"/>
  <c r="H57" i="1"/>
  <c r="G57" i="1"/>
  <c r="G52" i="1" s="1"/>
  <c r="M55" i="1"/>
  <c r="L55" i="1"/>
  <c r="K55" i="1"/>
  <c r="J55" i="1"/>
  <c r="J52" i="1" s="1"/>
  <c r="I55" i="1"/>
  <c r="H55" i="1"/>
  <c r="N54" i="1"/>
  <c r="O54" i="1" s="1"/>
  <c r="M53" i="1"/>
  <c r="L53" i="1"/>
  <c r="K53" i="1"/>
  <c r="J53" i="1"/>
  <c r="I53" i="1"/>
  <c r="H53" i="1"/>
  <c r="N49" i="1"/>
  <c r="O49" i="1" s="1"/>
  <c r="N48" i="1"/>
  <c r="O48" i="1" s="1"/>
  <c r="N47" i="1"/>
  <c r="O47" i="1" s="1"/>
  <c r="M46" i="1"/>
  <c r="L46" i="1"/>
  <c r="K46" i="1"/>
  <c r="J46" i="1"/>
  <c r="I46" i="1"/>
  <c r="H46" i="1"/>
  <c r="G46" i="1"/>
  <c r="H44" i="1"/>
  <c r="H43" i="1"/>
  <c r="I43" i="1" s="1"/>
  <c r="J43" i="1" s="1"/>
  <c r="M42" i="1"/>
  <c r="G42" i="1"/>
  <c r="N40" i="1"/>
  <c r="K39" i="1"/>
  <c r="K37" i="1" s="1"/>
  <c r="K31" i="1" s="1"/>
  <c r="K30" i="1" s="1"/>
  <c r="J39" i="1"/>
  <c r="N39" i="1" s="1"/>
  <c r="O39" i="1" s="1"/>
  <c r="N38" i="1"/>
  <c r="O38" i="1" s="1"/>
  <c r="M37" i="1"/>
  <c r="L37" i="1"/>
  <c r="I37" i="1"/>
  <c r="I31" i="1" s="1"/>
  <c r="I30" i="1" s="1"/>
  <c r="H37" i="1"/>
  <c r="H31" i="1" s="1"/>
  <c r="H30" i="1" s="1"/>
  <c r="G37" i="1"/>
  <c r="L35" i="1"/>
  <c r="N35" i="1" s="1"/>
  <c r="O35" i="1" s="1"/>
  <c r="N34" i="1"/>
  <c r="N33" i="1"/>
  <c r="O33" i="1" s="1"/>
  <c r="N32" i="1"/>
  <c r="O32" i="1" s="1"/>
  <c r="M31" i="1"/>
  <c r="M30" i="1" s="1"/>
  <c r="L31" i="1"/>
  <c r="L30" i="1" s="1"/>
  <c r="G31" i="1"/>
  <c r="G30" i="1"/>
  <c r="N28" i="1"/>
  <c r="N27" i="1"/>
  <c r="O27" i="1" s="1"/>
  <c r="O26" i="1"/>
  <c r="N26" i="1"/>
  <c r="N25" i="1"/>
  <c r="N24" i="1" s="1"/>
  <c r="M24" i="1"/>
  <c r="L24" i="1"/>
  <c r="K24" i="1"/>
  <c r="J24" i="1"/>
  <c r="I24" i="1"/>
  <c r="H24" i="1"/>
  <c r="G24" i="1"/>
  <c r="N22" i="1"/>
  <c r="M21" i="1"/>
  <c r="L21" i="1"/>
  <c r="K21" i="1"/>
  <c r="J21" i="1"/>
  <c r="I21" i="1"/>
  <c r="H21" i="1"/>
  <c r="G21" i="1"/>
  <c r="N19" i="1"/>
  <c r="O19" i="1" s="1"/>
  <c r="N18" i="1"/>
  <c r="N17" i="1"/>
  <c r="O17" i="1" s="1"/>
  <c r="N16" i="1"/>
  <c r="M16" i="1"/>
  <c r="L16" i="1"/>
  <c r="K16" i="1"/>
  <c r="J16" i="1"/>
  <c r="I16" i="1"/>
  <c r="H16" i="1"/>
  <c r="G16" i="1"/>
  <c r="M14" i="1"/>
  <c r="M13" i="1" s="1"/>
  <c r="M12" i="1" s="1"/>
  <c r="M11" i="1" s="1"/>
  <c r="L14" i="1"/>
  <c r="L13" i="1" s="1"/>
  <c r="K14" i="1"/>
  <c r="K13" i="1" s="1"/>
  <c r="K12" i="1" s="1"/>
  <c r="J14" i="1"/>
  <c r="I14" i="1"/>
  <c r="I13" i="1" s="1"/>
  <c r="H14" i="1"/>
  <c r="H13" i="1" s="1"/>
  <c r="H12" i="1" s="1"/>
  <c r="G14" i="1"/>
  <c r="G13" i="1" s="1"/>
  <c r="G12" i="1" s="1"/>
  <c r="J13" i="1"/>
  <c r="J12" i="1" s="1"/>
  <c r="H11" i="1" l="1"/>
  <c r="O141" i="1"/>
  <c r="O76" i="1"/>
  <c r="O75" i="1" s="1"/>
  <c r="N111" i="1"/>
  <c r="M113" i="1"/>
  <c r="O16" i="1"/>
  <c r="O25" i="1"/>
  <c r="O24" i="1" s="1"/>
  <c r="J37" i="1"/>
  <c r="J31" i="1" s="1"/>
  <c r="J30" i="1" s="1"/>
  <c r="J11" i="1" s="1"/>
  <c r="N37" i="1"/>
  <c r="N31" i="1" s="1"/>
  <c r="N30" i="1" s="1"/>
  <c r="N53" i="1"/>
  <c r="O58" i="1"/>
  <c r="O57" i="1" s="1"/>
  <c r="N65" i="1"/>
  <c r="N64" i="1" s="1"/>
  <c r="N69" i="1"/>
  <c r="N68" i="1" s="1"/>
  <c r="K84" i="1"/>
  <c r="K51" i="1" s="1"/>
  <c r="N93" i="1"/>
  <c r="H92" i="1"/>
  <c r="N97" i="1"/>
  <c r="N96" i="1" s="1"/>
  <c r="N98" i="1"/>
  <c r="O98" i="1" s="1"/>
  <c r="N121" i="1"/>
  <c r="G113" i="1"/>
  <c r="H131" i="1"/>
  <c r="H113" i="1" s="1"/>
  <c r="N136" i="1"/>
  <c r="O136" i="1" s="1"/>
  <c r="N141" i="1"/>
  <c r="I12" i="1"/>
  <c r="I11" i="1" s="1"/>
  <c r="G51" i="1"/>
  <c r="N73" i="1"/>
  <c r="O73" i="1" s="1"/>
  <c r="G11" i="1"/>
  <c r="K11" i="1"/>
  <c r="O37" i="1"/>
  <c r="N46" i="1"/>
  <c r="L52" i="1"/>
  <c r="I52" i="1"/>
  <c r="M52" i="1"/>
  <c r="M51" i="1" s="1"/>
  <c r="M157" i="1" s="1"/>
  <c r="I72" i="1"/>
  <c r="M72" i="1"/>
  <c r="N99" i="1"/>
  <c r="O99" i="1" s="1"/>
  <c r="O122" i="1"/>
  <c r="O121" i="1" s="1"/>
  <c r="K131" i="1"/>
  <c r="J131" i="1"/>
  <c r="O53" i="1"/>
  <c r="N52" i="1"/>
  <c r="O65" i="1"/>
  <c r="O64" i="1" s="1"/>
  <c r="O97" i="1"/>
  <c r="O96" i="1" s="1"/>
  <c r="K43" i="1"/>
  <c r="O34" i="1"/>
  <c r="O46" i="1"/>
  <c r="N55" i="1"/>
  <c r="O55" i="1" s="1"/>
  <c r="H52" i="1"/>
  <c r="L51" i="1"/>
  <c r="N62" i="1"/>
  <c r="O62" i="1" s="1"/>
  <c r="M60" i="1"/>
  <c r="O72" i="1"/>
  <c r="J85" i="1"/>
  <c r="O93" i="1"/>
  <c r="L12" i="1"/>
  <c r="L11" i="1" s="1"/>
  <c r="N21" i="1"/>
  <c r="O22" i="1"/>
  <c r="O21" i="1" s="1"/>
  <c r="H60" i="1"/>
  <c r="I92" i="1"/>
  <c r="M102" i="1"/>
  <c r="M92" i="1" s="1"/>
  <c r="N106" i="1"/>
  <c r="O106" i="1" s="1"/>
  <c r="O102" i="1" s="1"/>
  <c r="H109" i="1"/>
  <c r="O132" i="1"/>
  <c r="N134" i="1"/>
  <c r="O134" i="1" s="1"/>
  <c r="O61" i="1"/>
  <c r="N60" i="1"/>
  <c r="O69" i="1"/>
  <c r="O68" i="1" s="1"/>
  <c r="J72" i="1"/>
  <c r="J51" i="1" s="1"/>
  <c r="N107" i="1"/>
  <c r="O107" i="1" s="1"/>
  <c r="N14" i="1"/>
  <c r="N13" i="1" s="1"/>
  <c r="O80" i="1"/>
  <c r="N90" i="1"/>
  <c r="O90" i="1" s="1"/>
  <c r="O85" i="1" s="1"/>
  <c r="O111" i="1"/>
  <c r="O109" i="1" s="1"/>
  <c r="N109" i="1"/>
  <c r="N118" i="1"/>
  <c r="O119" i="1"/>
  <c r="O118" i="1" s="1"/>
  <c r="I131" i="1"/>
  <c r="N143" i="1"/>
  <c r="I150" i="1"/>
  <c r="H42" i="1"/>
  <c r="I44" i="1"/>
  <c r="J44" i="1" s="1"/>
  <c r="K44" i="1" s="1"/>
  <c r="L44" i="1" s="1"/>
  <c r="I80" i="1"/>
  <c r="N44" i="1" l="1"/>
  <c r="O44" i="1" s="1"/>
  <c r="H51" i="1"/>
  <c r="H157" i="1" s="1"/>
  <c r="O31" i="1"/>
  <c r="O30" i="1" s="1"/>
  <c r="G157" i="1"/>
  <c r="N72" i="1"/>
  <c r="I42" i="1"/>
  <c r="N102" i="1"/>
  <c r="N92" i="1" s="1"/>
  <c r="N51" i="1" s="1"/>
  <c r="N85" i="1"/>
  <c r="I51" i="1"/>
  <c r="O143" i="1"/>
  <c r="O140" i="1" s="1"/>
  <c r="N140" i="1"/>
  <c r="L43" i="1"/>
  <c r="L42" i="1" s="1"/>
  <c r="K42" i="1"/>
  <c r="O60" i="1"/>
  <c r="O131" i="1"/>
  <c r="O84" i="1"/>
  <c r="O52" i="1"/>
  <c r="N131" i="1"/>
  <c r="N84" i="1"/>
  <c r="I148" i="1"/>
  <c r="I139" i="1" s="1"/>
  <c r="I113" i="1" s="1"/>
  <c r="I157" i="1" s="1"/>
  <c r="J150" i="1"/>
  <c r="N12" i="1"/>
  <c r="N11" i="1" s="1"/>
  <c r="O14" i="1"/>
  <c r="O13" i="1" s="1"/>
  <c r="O12" i="1" s="1"/>
  <c r="O92" i="1"/>
  <c r="N43" i="1"/>
  <c r="J42" i="1"/>
  <c r="O43" i="1" l="1"/>
  <c r="O42" i="1" s="1"/>
  <c r="O41" i="1" s="1"/>
  <c r="O11" i="1" s="1"/>
  <c r="N42" i="1"/>
  <c r="K150" i="1"/>
  <c r="J148" i="1"/>
  <c r="J139" i="1" s="1"/>
  <c r="J113" i="1" s="1"/>
  <c r="J157" i="1" s="1"/>
  <c r="O51" i="1"/>
  <c r="K148" i="1" l="1"/>
  <c r="K139" i="1" s="1"/>
  <c r="K113" i="1" s="1"/>
  <c r="K157" i="1" s="1"/>
  <c r="L150" i="1"/>
  <c r="L148" i="1" s="1"/>
  <c r="L139" i="1" s="1"/>
  <c r="L113" i="1" s="1"/>
  <c r="L157" i="1" s="1"/>
  <c r="N150" i="1"/>
  <c r="O150" i="1" l="1"/>
  <c r="O148" i="1" s="1"/>
  <c r="O139" i="1" s="1"/>
  <c r="O113" i="1" s="1"/>
  <c r="O157" i="1" s="1"/>
  <c r="N148" i="1"/>
  <c r="N139" i="1" s="1"/>
  <c r="N113" i="1" s="1"/>
  <c r="N157" i="1" s="1"/>
</calcChain>
</file>

<file path=xl/sharedStrings.xml><?xml version="1.0" encoding="utf-8"?>
<sst xmlns="http://schemas.openxmlformats.org/spreadsheetml/2006/main" count="159" uniqueCount="143">
  <si>
    <t>Clasificación Presupuestaria</t>
  </si>
  <si>
    <t xml:space="preserve">Presupuesto </t>
  </si>
  <si>
    <t>Presupuesto por ejecutar</t>
  </si>
  <si>
    <t>Tipo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</si>
  <si>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</si>
  <si>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</si>
  <si>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</si>
  <si>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</si>
  <si>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</si>
  <si>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</si>
  <si>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</si>
  <si>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</si>
  <si>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</si>
  <si>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</si>
  <si>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</si>
  <si>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</si>
  <si>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</si>
  <si>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</si>
  <si>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</si>
  <si>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</si>
  <si>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</si>
  <si>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</si>
  <si>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</si>
  <si>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</si>
  <si>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</si>
  <si>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</si>
  <si>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</si>
  <si>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</si>
  <si>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</si>
  <si>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</si>
  <si>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</si>
  <si>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</si>
  <si>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</si>
  <si>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</si>
  <si>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</si>
  <si>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</si>
  <si>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</si>
  <si>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</si>
  <si>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</si>
  <si>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</si>
  <si>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</si>
  <si>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</si>
  <si>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</si>
  <si>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</si>
  <si>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</si>
  <si>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</si>
  <si>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</si>
  <si>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</si>
  <si>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</si>
  <si>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</si>
  <si>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</si>
  <si>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</si>
  <si>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</si>
  <si>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</si>
  <si>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</si>
  <si>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</si>
  <si>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</si>
  <si>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</si>
  <si>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</si>
  <si>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</si>
  <si>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</si>
  <si>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</si>
  <si>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</si>
  <si>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</si>
  <si>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</si>
  <si>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</si>
  <si>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</si>
  <si>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</si>
  <si>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</si>
  <si>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</si>
  <si>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</si>
  <si>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</si>
  <si>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</si>
  <si>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</si>
  <si>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</si>
  <si>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</si>
  <si>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</si>
  <si>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</si>
  <si>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</si>
  <si>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</si>
  <si>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</si>
  <si>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</si>
  <si>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</si>
  <si>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</si>
  <si>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</si>
  <si>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</si>
  <si>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</si>
  <si>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</si>
  <si>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</si>
  <si>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</si>
  <si>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</si>
  <si>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</si>
  <si>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</si>
  <si>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</si>
  <si>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</si>
  <si>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</si>
  <si>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</si>
  <si>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</si>
  <si>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</si>
  <si>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</si>
  <si>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</si>
  <si>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</si>
  <si>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</si>
  <si>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</si>
  <si>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</si>
  <si>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</si>
  <si>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</si>
  <si>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</si>
  <si>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</si>
  <si>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</si>
  <si>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</si>
  <si>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</si>
  <si>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</si>
  <si>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</si>
  <si>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</si>
  <si>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</si>
  <si>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</si>
  <si>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</si>
  <si>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</si>
  <si>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>Director Administrativo Financiero</t>
  </si>
  <si>
    <t>Rafael Toribio</t>
  </si>
  <si>
    <t>Presidente CES</t>
  </si>
  <si>
    <t>Otros gastos Institucionales</t>
  </si>
  <si>
    <t>Compensación por Desempeño</t>
  </si>
  <si>
    <t>Prestaciones y Bonificaciones</t>
  </si>
  <si>
    <t>Bonos Escolar</t>
  </si>
  <si>
    <t>Vacaciones</t>
  </si>
  <si>
    <t>Jóse Ventura</t>
  </si>
  <si>
    <t>Presupuesto Ene-Dic.2026</t>
  </si>
  <si>
    <t>Ejecut. Enero,  2026</t>
  </si>
  <si>
    <t>Objeto</t>
  </si>
  <si>
    <t>Ejecut. Febrero,  2026</t>
  </si>
  <si>
    <t>TOTAL</t>
  </si>
  <si>
    <t>Ejecut. Marzo,  2026</t>
  </si>
  <si>
    <t xml:space="preserve">  </t>
  </si>
  <si>
    <t xml:space="preserve">                                                           Consejo Económico -(CES)-</t>
  </si>
  <si>
    <t xml:space="preserve">                                                   (Valores en RD$)</t>
  </si>
  <si>
    <t>Ejecut. Abril,  2026</t>
  </si>
  <si>
    <t>Ejecut. Mayo,  2026</t>
  </si>
  <si>
    <t>Renovación de Pleno</t>
  </si>
  <si>
    <t xml:space="preserve">                                                        Ejecucion Presupuestal al 30 de Junio 2026</t>
  </si>
  <si>
    <t>Ejecut. Junio,  2026</t>
  </si>
  <si>
    <t>Control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</si>
</sst>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4"/>
      <color theme="1"/>
      <name val="Cambria"/>
      <family val="1"/>
    </font>
    <font>
      <sz val="13"/>
      <color theme="1"/>
      <name val="Cambria"/>
      <family val="1"/>
    </font>
    <font>
      <b/>
      <sz val="13"/>
      <name val="Cambria"/>
      <family val="1"/>
    </font>
    <font>
      <sz val="14"/>
      <color rgb="FFFF0000"/>
      <name val="Cambria"/>
      <family val="1"/>
    </font>
    <font>
      <sz val="14"/>
      <color rgb="FF00B0F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8">
    <xf numFmtId="0" fontId="0" fillId="0" borderId="0" xfId="0"/>
    <xf numFmtId="1" fontId="3" fillId="2" borderId="10" xfId="0" applyNumberFormat="1" applyFont="1" applyFill="1" applyBorder="1" applyAlignment="1">
      <alignment horizontal="center"/>
    </xf>
    <xf numFmtId="0" fontId="2" fillId="0" borderId="0" xfId="0" applyFont="1"/>
    <xf numFmtId="0" fontId="0" fillId="2" borderId="0" xfId="0" applyFill="1"/>
    <xf numFmtId="43" fontId="0" fillId="0" borderId="0" xfId="1" applyFont="1"/>
    <xf numFmtId="1" fontId="0" fillId="2" borderId="0" xfId="0" applyNumberForma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1" fontId="6" fillId="2" borderId="0" xfId="0" applyNumberFormat="1" applyFont="1" applyFill="1"/>
    <xf numFmtId="0" fontId="9" fillId="0" borderId="1" xfId="0" applyFont="1" applyBorder="1" applyAlignment="1">
      <alignment horizontal="left"/>
    </xf>
    <xf numFmtId="0" fontId="9" fillId="0" borderId="4" xfId="0" applyFont="1" applyBorder="1"/>
    <xf numFmtId="1" fontId="9" fillId="2" borderId="4" xfId="0" applyNumberFormat="1" applyFont="1" applyFill="1" applyBorder="1"/>
    <xf numFmtId="0" fontId="9" fillId="0" borderId="5" xfId="0" applyFont="1" applyBorder="1" applyAlignment="1">
      <alignment horizontal="center" wrapText="1"/>
    </xf>
    <xf numFmtId="1" fontId="9" fillId="2" borderId="5" xfId="0" applyNumberFormat="1" applyFont="1" applyFill="1" applyBorder="1" applyAlignment="1">
      <alignment horizontal="center" wrapText="1"/>
    </xf>
    <xf numFmtId="0" fontId="10" fillId="0" borderId="5" xfId="0" applyFont="1" applyBorder="1"/>
    <xf numFmtId="0" fontId="9" fillId="0" borderId="6" xfId="0" applyFont="1" applyBorder="1" applyAlignment="1">
      <alignment horizontal="center"/>
    </xf>
    <xf numFmtId="1" fontId="9" fillId="2" borderId="5" xfId="0" applyNumberFormat="1" applyFont="1" applyFill="1" applyBorder="1" applyAlignment="1">
      <alignment horizontal="center"/>
    </xf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0" fontId="8" fillId="0" borderId="9" xfId="0" applyFont="1" applyBorder="1"/>
    <xf numFmtId="0" fontId="9" fillId="0" borderId="9" xfId="0" applyFont="1" applyBorder="1" applyAlignment="1">
      <alignment horizontal="center"/>
    </xf>
    <xf numFmtId="41" fontId="9" fillId="0" borderId="9" xfId="0" applyNumberFormat="1" applyFont="1" applyBorder="1" applyAlignment="1">
      <alignment horizontal="center"/>
    </xf>
    <xf numFmtId="1" fontId="9" fillId="2" borderId="9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41" fontId="9" fillId="0" borderId="6" xfId="0" applyNumberFormat="1" applyFont="1" applyBorder="1"/>
    <xf numFmtId="164" fontId="9" fillId="2" borderId="7" xfId="1" applyNumberFormat="1" applyFont="1" applyFill="1" applyBorder="1"/>
    <xf numFmtId="41" fontId="11" fillId="0" borderId="5" xfId="0" applyNumberFormat="1" applyFont="1" applyBorder="1"/>
    <xf numFmtId="164" fontId="11" fillId="2" borderId="5" xfId="1" applyNumberFormat="1" applyFont="1" applyFill="1" applyBorder="1"/>
    <xf numFmtId="41" fontId="9" fillId="0" borderId="9" xfId="0" applyNumberFormat="1" applyFont="1" applyBorder="1"/>
    <xf numFmtId="164" fontId="9" fillId="2" borderId="9" xfId="1" applyNumberFormat="1" applyFont="1" applyFill="1" applyBorder="1"/>
    <xf numFmtId="164" fontId="8" fillId="2" borderId="7" xfId="1" applyNumberFormat="1" applyFont="1" applyFill="1" applyBorder="1"/>
    <xf numFmtId="164" fontId="9" fillId="2" borderId="6" xfId="1" applyNumberFormat="1" applyFont="1" applyFill="1" applyBorder="1"/>
    <xf numFmtId="41" fontId="11" fillId="0" borderId="9" xfId="0" applyNumberFormat="1" applyFont="1" applyBorder="1"/>
    <xf numFmtId="41" fontId="11" fillId="0" borderId="7" xfId="0" applyNumberFormat="1" applyFont="1" applyBorder="1"/>
    <xf numFmtId="164" fontId="11" fillId="2" borderId="9" xfId="1" applyNumberFormat="1" applyFont="1" applyFill="1" applyBorder="1"/>
    <xf numFmtId="164" fontId="11" fillId="2" borderId="7" xfId="1" applyNumberFormat="1" applyFont="1" applyFill="1" applyBorder="1"/>
    <xf numFmtId="41" fontId="11" fillId="0" borderId="6" xfId="0" applyNumberFormat="1" applyFont="1" applyBorder="1"/>
    <xf numFmtId="41" fontId="9" fillId="0" borderId="5" xfId="0" applyNumberFormat="1" applyFont="1" applyBorder="1"/>
    <xf numFmtId="164" fontId="9" fillId="2" borderId="5" xfId="1" applyNumberFormat="1" applyFont="1" applyFill="1" applyBorder="1"/>
    <xf numFmtId="0" fontId="10" fillId="0" borderId="7" xfId="0" applyFont="1" applyBorder="1" applyAlignment="1">
      <alignment horizontal="center"/>
    </xf>
    <xf numFmtId="164" fontId="11" fillId="2" borderId="6" xfId="1" applyNumberFormat="1" applyFont="1" applyFill="1" applyBorder="1"/>
    <xf numFmtId="164" fontId="9" fillId="2" borderId="12" xfId="1" applyNumberFormat="1" applyFont="1" applyFill="1" applyBorder="1"/>
    <xf numFmtId="0" fontId="11" fillId="0" borderId="7" xfId="0" applyFont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41" fontId="11" fillId="2" borderId="6" xfId="0" applyNumberFormat="1" applyFont="1" applyFill="1" applyBorder="1"/>
    <xf numFmtId="41" fontId="11" fillId="2" borderId="7" xfId="0" applyNumberFormat="1" applyFont="1" applyFill="1" applyBorder="1"/>
    <xf numFmtId="41" fontId="9" fillId="0" borderId="7" xfId="0" applyNumberFormat="1" applyFont="1" applyBorder="1"/>
    <xf numFmtId="41" fontId="9" fillId="0" borderId="12" xfId="0" applyNumberFormat="1" applyFont="1" applyBorder="1"/>
    <xf numFmtId="164" fontId="8" fillId="2" borderId="5" xfId="1" applyNumberFormat="1" applyFont="1" applyFill="1" applyBorder="1"/>
    <xf numFmtId="0" fontId="8" fillId="0" borderId="6" xfId="0" applyFont="1" applyBorder="1" applyAlignment="1">
      <alignment horizontal="center"/>
    </xf>
    <xf numFmtId="0" fontId="8" fillId="0" borderId="6" xfId="0" applyFont="1" applyBorder="1"/>
    <xf numFmtId="0" fontId="12" fillId="0" borderId="0" xfId="0" applyFont="1" applyAlignment="1">
      <alignment horizontal="center"/>
    </xf>
    <xf numFmtId="41" fontId="6" fillId="0" borderId="0" xfId="0" applyNumberFormat="1" applyFont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43" fontId="12" fillId="0" borderId="0" xfId="1" applyFont="1" applyAlignment="1">
      <alignment horizontal="center"/>
    </xf>
    <xf numFmtId="43" fontId="6" fillId="2" borderId="0" xfId="1" applyFont="1" applyFill="1"/>
    <xf numFmtId="41" fontId="9" fillId="2" borderId="6" xfId="0" applyNumberFormat="1" applyFont="1" applyFill="1" applyBorder="1"/>
    <xf numFmtId="41" fontId="9" fillId="2" borderId="5" xfId="0" applyNumberFormat="1" applyFont="1" applyFill="1" applyBorder="1"/>
    <xf numFmtId="41" fontId="9" fillId="2" borderId="7" xfId="0" applyNumberFormat="1" applyFont="1" applyFill="1" applyBorder="1"/>
    <xf numFmtId="41" fontId="9" fillId="2" borderId="9" xfId="0" applyNumberFormat="1" applyFont="1" applyFill="1" applyBorder="1"/>
    <xf numFmtId="41" fontId="11" fillId="2" borderId="5" xfId="0" applyNumberFormat="1" applyFont="1" applyFill="1" applyBorder="1"/>
    <xf numFmtId="164" fontId="9" fillId="2" borderId="15" xfId="1" applyNumberFormat="1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 applyAlignment="1">
      <alignment horizontal="center" wrapText="1"/>
    </xf>
    <xf numFmtId="41" fontId="9" fillId="0" borderId="0" xfId="0" applyNumberFormat="1" applyFont="1" applyBorder="1"/>
    <xf numFmtId="41" fontId="8" fillId="2" borderId="7" xfId="0" applyNumberFormat="1" applyFont="1" applyFill="1" applyBorder="1"/>
    <xf numFmtId="41" fontId="11" fillId="2" borderId="9" xfId="0" applyNumberFormat="1" applyFont="1" applyFill="1" applyBorder="1"/>
    <xf numFmtId="0" fontId="8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centerContinuous"/>
    </xf>
    <xf numFmtId="0" fontId="9" fillId="0" borderId="0" xfId="0" applyFont="1" applyBorder="1" applyAlignment="1">
      <alignment horizontal="center"/>
    </xf>
    <xf numFmtId="1" fontId="9" fillId="2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41" fontId="9" fillId="2" borderId="15" xfId="0" applyNumberFormat="1" applyFont="1" applyFill="1" applyBorder="1"/>
    <xf numFmtId="1" fontId="9" fillId="2" borderId="3" xfId="0" applyNumberFormat="1" applyFont="1" applyFill="1" applyBorder="1" applyAlignment="1">
      <alignment horizontal="center" wrapText="1"/>
    </xf>
    <xf numFmtId="43" fontId="8" fillId="2" borderId="7" xfId="1" applyFont="1" applyFill="1" applyBorder="1"/>
    <xf numFmtId="164" fontId="8" fillId="2" borderId="8" xfId="1" applyNumberFormat="1" applyFont="1" applyFill="1" applyBorder="1"/>
    <xf numFmtId="43" fontId="11" fillId="2" borderId="8" xfId="1" applyNumberFormat="1" applyFont="1" applyFill="1" applyBorder="1"/>
    <xf numFmtId="164" fontId="11" fillId="2" borderId="8" xfId="1" applyNumberFormat="1" applyFont="1" applyFill="1" applyBorder="1"/>
    <xf numFmtId="43" fontId="11" fillId="2" borderId="9" xfId="1" applyFont="1" applyFill="1" applyBorder="1"/>
    <xf numFmtId="43" fontId="11" fillId="2" borderId="10" xfId="1" applyNumberFormat="1" applyFont="1" applyFill="1" applyBorder="1"/>
    <xf numFmtId="43" fontId="11" fillId="2" borderId="7" xfId="1" applyFont="1" applyFill="1" applyBorder="1"/>
    <xf numFmtId="164" fontId="9" fillId="2" borderId="8" xfId="1" applyNumberFormat="1" applyFont="1" applyFill="1" applyBorder="1"/>
    <xf numFmtId="43" fontId="2" fillId="0" borderId="0" xfId="1" applyFont="1"/>
    <xf numFmtId="164" fontId="11" fillId="2" borderId="10" xfId="1" applyNumberFormat="1" applyFont="1" applyFill="1" applyBorder="1"/>
    <xf numFmtId="164" fontId="9" fillId="2" borderId="11" xfId="1" applyNumberFormat="1" applyFont="1" applyFill="1" applyBorder="1"/>
    <xf numFmtId="43" fontId="0" fillId="2" borderId="0" xfId="1" applyFont="1" applyFill="1"/>
    <xf numFmtId="43" fontId="11" fillId="2" borderId="6" xfId="1" applyFont="1" applyFill="1" applyBorder="1"/>
    <xf numFmtId="43" fontId="4" fillId="0" borderId="0" xfId="1" applyFont="1"/>
    <xf numFmtId="43" fontId="5" fillId="0" borderId="0" xfId="1" applyFont="1"/>
    <xf numFmtId="41" fontId="0" fillId="0" borderId="0" xfId="0" applyNumberFormat="1"/>
    <xf numFmtId="43" fontId="0" fillId="0" borderId="0" xfId="0" applyNumberFormat="1"/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1" fontId="9" fillId="2" borderId="3" xfId="0" applyNumberFormat="1" applyFont="1" applyFill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0" fontId="9" fillId="0" borderId="0" xfId="0" applyFont="1" applyBorder="1" applyAlignment="1">
      <alignment horizontal="left" wrapText="1"/>
    </xf>
    <xf numFmtId="41" fontId="9" fillId="0" borderId="11" xfId="0" applyNumberFormat="1" applyFont="1" applyBorder="1"/>
    <xf numFmtId="164" fontId="11" fillId="2" borderId="3" xfId="1" applyNumberFormat="1" applyFont="1" applyFill="1" applyBorder="1"/>
    <xf numFmtId="164" fontId="9" fillId="2" borderId="10" xfId="1" applyNumberFormat="1" applyFont="1" applyFill="1" applyBorder="1"/>
    <xf numFmtId="41" fontId="11" fillId="0" borderId="11" xfId="0" applyNumberFormat="1" applyFont="1" applyBorder="1"/>
    <xf numFmtId="164" fontId="9" fillId="2" borderId="16" xfId="1" applyNumberFormat="1" applyFont="1" applyFill="1" applyBorder="1"/>
    <xf numFmtId="41" fontId="9" fillId="0" borderId="3" xfId="0" applyNumberFormat="1" applyFont="1" applyBorder="1"/>
    <xf numFmtId="164" fontId="11" fillId="2" borderId="11" xfId="1" applyNumberFormat="1" applyFont="1" applyFill="1" applyBorder="1"/>
    <xf numFmtId="164" fontId="9" fillId="2" borderId="3" xfId="1" applyNumberFormat="1" applyFont="1" applyFill="1" applyBorder="1"/>
    <xf numFmtId="0" fontId="8" fillId="2" borderId="0" xfId="0" applyFont="1" applyFill="1" applyBorder="1" applyAlignment="1">
      <alignment wrapText="1"/>
    </xf>
    <xf numFmtId="41" fontId="11" fillId="2" borderId="11" xfId="0" applyNumberFormat="1" applyFont="1" applyFill="1" applyBorder="1"/>
    <xf numFmtId="41" fontId="9" fillId="2" borderId="3" xfId="0" applyNumberFormat="1" applyFont="1" applyFill="1" applyBorder="1"/>
    <xf numFmtId="0" fontId="11" fillId="2" borderId="0" xfId="0" applyFont="1" applyFill="1" applyBorder="1" applyAlignment="1">
      <alignment wrapText="1"/>
    </xf>
    <xf numFmtId="41" fontId="11" fillId="2" borderId="8" xfId="0" applyNumberFormat="1" applyFont="1" applyFill="1" applyBorder="1"/>
    <xf numFmtId="164" fontId="9" fillId="2" borderId="17" xfId="1" applyNumberFormat="1" applyFont="1" applyFill="1" applyBorder="1"/>
    <xf numFmtId="41" fontId="9" fillId="2" borderId="10" xfId="0" applyNumberFormat="1" applyFont="1" applyFill="1" applyBorder="1"/>
    <xf numFmtId="164" fontId="8" fillId="2" borderId="3" xfId="1" applyNumberFormat="1" applyFont="1" applyFill="1" applyBorder="1"/>
    <xf numFmtId="41" fontId="9" fillId="2" borderId="11" xfId="0" applyNumberFormat="1" applyFont="1" applyFill="1" applyBorder="1"/>
    <xf numFmtId="41" fontId="9" fillId="0" borderId="17" xfId="0" applyNumberFormat="1" applyFont="1" applyBorder="1"/>
    <xf numFmtId="41" fontId="11" fillId="2" borderId="3" xfId="0" applyNumberFormat="1" applyFont="1" applyFill="1" applyBorder="1"/>
    <xf numFmtId="0" fontId="11" fillId="0" borderId="0" xfId="0" applyFont="1" applyBorder="1"/>
    <xf numFmtId="0" fontId="9" fillId="0" borderId="13" xfId="0" applyFont="1" applyBorder="1" applyAlignment="1">
      <alignment horizontal="center" wrapText="1"/>
    </xf>
    <xf numFmtId="164" fontId="9" fillId="2" borderId="18" xfId="1" applyNumberFormat="1" applyFont="1" applyFill="1" applyBorder="1"/>
    <xf numFmtId="41" fontId="9" fillId="0" borderId="19" xfId="0" applyNumberFormat="1" applyFont="1" applyBorder="1"/>
    <xf numFmtId="164" fontId="9" fillId="2" borderId="20" xfId="1" applyNumberFormat="1" applyFont="1" applyFill="1" applyBorder="1"/>
    <xf numFmtId="43" fontId="9" fillId="2" borderId="8" xfId="1" applyFont="1" applyFill="1" applyBorder="1"/>
    <xf numFmtId="164" fontId="11" fillId="2" borderId="20" xfId="1" applyNumberFormat="1" applyFont="1" applyFill="1" applyBorder="1"/>
    <xf numFmtId="0" fontId="9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11" fillId="2" borderId="8" xfId="1" applyFont="1" applyFill="1" applyBorder="1"/>
    <xf numFmtId="43" fontId="9" fillId="2" borderId="9" xfId="1" applyFont="1" applyFill="1" applyBorder="1"/>
    <xf numFmtId="43" fontId="9" fillId="2" borderId="7" xfId="1" applyFont="1" applyFill="1" applyBorder="1"/>
    <xf numFmtId="43" fontId="8" fillId="2" borderId="5" xfId="1" applyFont="1" applyFill="1" applyBorder="1"/>
    <xf numFmtId="43" fontId="9" fillId="2" borderId="5" xfId="1" applyFont="1" applyFill="1" applyBorder="1"/>
    <xf numFmtId="43" fontId="9" fillId="2" borderId="6" xfId="1" applyFont="1" applyFill="1" applyBorder="1"/>
    <xf numFmtId="43" fontId="9" fillId="0" borderId="6" xfId="1" applyFont="1" applyBorder="1"/>
    <xf numFmtId="43" fontId="9" fillId="2" borderId="12" xfId="1" applyFont="1" applyFill="1" applyBorder="1"/>
    <xf numFmtId="0" fontId="13" fillId="0" borderId="0" xfId="0" applyFont="1" applyBorder="1"/>
    <xf numFmtId="0" fontId="14" fillId="0" borderId="0" xfId="0" applyFont="1" applyBorder="1" applyAlignment="1">
      <alignment horizontal="center" wrapText="1"/>
    </xf>
    <xf numFmtId="41" fontId="14" fillId="0" borderId="0" xfId="0" applyNumberFormat="1" applyFont="1" applyBorder="1"/>
    <xf numFmtId="0" fontId="12" fillId="0" borderId="0" xfId="0" applyFont="1"/>
    <xf numFmtId="41" fontId="12" fillId="0" borderId="0" xfId="0" applyNumberFormat="1" applyFont="1" applyAlignment="1">
      <alignment horizontal="center"/>
    </xf>
    <xf numFmtId="41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41" fontId="16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tabSelected="1" topLeftCell="A154" workbookViewId="0">
      <selection activeCell="H167" sqref="H167"/>
    </sheetView>
  </sheetViews>
  <sheetFormatPr baseColWidth="10" defaultColWidth="11.42578125" defaultRowHeight="15" x14ac:dyDescent="0.25"/>
  <cols>
    <col min="1" max="1" width="8.28515625" customWidth="1"/>
    <col min="2" max="2" width="8" customWidth="1"/>
    <col min="3" max="3" width="6.85546875" customWidth="1"/>
    <col min="4" max="5" width="6" customWidth="1"/>
    <col min="6" max="6" width="26.5703125" customWidth="1"/>
    <col min="7" max="7" width="17" customWidth="1"/>
    <col min="8" max="8" width="21.85546875" style="5" customWidth="1"/>
    <col min="9" max="9" width="16.85546875" customWidth="1"/>
    <col min="10" max="10" width="15.42578125" customWidth="1"/>
    <col min="11" max="13" width="16.7109375" customWidth="1"/>
    <col min="14" max="14" width="16.5703125" customWidth="1"/>
    <col min="15" max="15" width="13.5703125" hidden="1" customWidth="1"/>
    <col min="16" max="16" width="28.140625" customWidth="1"/>
    <col min="217" max="217" width="4.85546875" bestFit="1" customWidth="1"/>
    <col min="218" max="218" width="5.85546875" bestFit="1" customWidth="1"/>
    <col min="219" max="219" width="7.42578125" bestFit="1" customWidth="1"/>
    <col min="220" max="220" width="8.140625" bestFit="1" customWidth="1"/>
    <col min="221" max="221" width="4.5703125" bestFit="1" customWidth="1"/>
    <col min="222" max="222" width="57.5703125" customWidth="1"/>
    <col min="223" max="223" width="14.28515625" customWidth="1"/>
    <col min="224" max="224" width="0.85546875" customWidth="1"/>
    <col min="225" max="225" width="16.5703125" bestFit="1" customWidth="1"/>
    <col min="226" max="226" width="13.42578125" bestFit="1" customWidth="1"/>
    <col min="473" max="473" width="4.85546875" bestFit="1" customWidth="1"/>
    <col min="474" max="474" width="5.85546875" bestFit="1" customWidth="1"/>
    <col min="475" max="475" width="7.42578125" bestFit="1" customWidth="1"/>
    <col min="476" max="476" width="8.140625" bestFit="1" customWidth="1"/>
    <col min="477" max="477" width="4.5703125" bestFit="1" customWidth="1"/>
    <col min="478" max="478" width="57.5703125" customWidth="1"/>
    <col min="479" max="479" width="14.28515625" customWidth="1"/>
    <col min="480" max="480" width="0.85546875" customWidth="1"/>
    <col min="481" max="481" width="16.5703125" bestFit="1" customWidth="1"/>
    <col min="482" max="482" width="13.42578125" bestFit="1" customWidth="1"/>
    <col min="729" max="729" width="4.85546875" bestFit="1" customWidth="1"/>
    <col min="730" max="730" width="5.85546875" bestFit="1" customWidth="1"/>
    <col min="731" max="731" width="7.42578125" bestFit="1" customWidth="1"/>
    <col min="732" max="732" width="8.140625" bestFit="1" customWidth="1"/>
    <col min="733" max="733" width="4.5703125" bestFit="1" customWidth="1"/>
    <col min="734" max="734" width="57.5703125" customWidth="1"/>
    <col min="735" max="735" width="14.28515625" customWidth="1"/>
    <col min="736" max="736" width="0.85546875" customWidth="1"/>
    <col min="737" max="737" width="16.5703125" bestFit="1" customWidth="1"/>
    <col min="738" max="738" width="13.42578125" bestFit="1" customWidth="1"/>
    <col min="985" max="985" width="4.85546875" bestFit="1" customWidth="1"/>
    <col min="986" max="986" width="5.85546875" bestFit="1" customWidth="1"/>
    <col min="987" max="987" width="7.42578125" bestFit="1" customWidth="1"/>
    <col min="988" max="988" width="8.140625" bestFit="1" customWidth="1"/>
    <col min="989" max="989" width="4.5703125" bestFit="1" customWidth="1"/>
    <col min="990" max="990" width="57.5703125" customWidth="1"/>
    <col min="991" max="991" width="14.28515625" customWidth="1"/>
    <col min="992" max="992" width="0.85546875" customWidth="1"/>
    <col min="993" max="993" width="16.5703125" bestFit="1" customWidth="1"/>
    <col min="994" max="994" width="13.42578125" bestFit="1" customWidth="1"/>
    <col min="1241" max="1241" width="4.85546875" bestFit="1" customWidth="1"/>
    <col min="1242" max="1242" width="5.85546875" bestFit="1" customWidth="1"/>
    <col min="1243" max="1243" width="7.42578125" bestFit="1" customWidth="1"/>
    <col min="1244" max="1244" width="8.140625" bestFit="1" customWidth="1"/>
    <col min="1245" max="1245" width="4.5703125" bestFit="1" customWidth="1"/>
    <col min="1246" max="1246" width="57.5703125" customWidth="1"/>
    <col min="1247" max="1247" width="14.28515625" customWidth="1"/>
    <col min="1248" max="1248" width="0.85546875" customWidth="1"/>
    <col min="1249" max="1249" width="16.5703125" bestFit="1" customWidth="1"/>
    <col min="1250" max="1250" width="13.42578125" bestFit="1" customWidth="1"/>
    <col min="1497" max="1497" width="4.85546875" bestFit="1" customWidth="1"/>
    <col min="1498" max="1498" width="5.85546875" bestFit="1" customWidth="1"/>
    <col min="1499" max="1499" width="7.42578125" bestFit="1" customWidth="1"/>
    <col min="1500" max="1500" width="8.140625" bestFit="1" customWidth="1"/>
    <col min="1501" max="1501" width="4.5703125" bestFit="1" customWidth="1"/>
    <col min="1502" max="1502" width="57.5703125" customWidth="1"/>
    <col min="1503" max="1503" width="14.28515625" customWidth="1"/>
    <col min="1504" max="1504" width="0.85546875" customWidth="1"/>
    <col min="1505" max="1505" width="16.5703125" bestFit="1" customWidth="1"/>
    <col min="1506" max="1506" width="13.42578125" bestFit="1" customWidth="1"/>
    <col min="1753" max="1753" width="4.85546875" bestFit="1" customWidth="1"/>
    <col min="1754" max="1754" width="5.85546875" bestFit="1" customWidth="1"/>
    <col min="1755" max="1755" width="7.42578125" bestFit="1" customWidth="1"/>
    <col min="1756" max="1756" width="8.140625" bestFit="1" customWidth="1"/>
    <col min="1757" max="1757" width="4.5703125" bestFit="1" customWidth="1"/>
    <col min="1758" max="1758" width="57.5703125" customWidth="1"/>
    <col min="1759" max="1759" width="14.28515625" customWidth="1"/>
    <col min="1760" max="1760" width="0.85546875" customWidth="1"/>
    <col min="1761" max="1761" width="16.5703125" bestFit="1" customWidth="1"/>
    <col min="1762" max="1762" width="13.42578125" bestFit="1" customWidth="1"/>
    <col min="2009" max="2009" width="4.85546875" bestFit="1" customWidth="1"/>
    <col min="2010" max="2010" width="5.85546875" bestFit="1" customWidth="1"/>
    <col min="2011" max="2011" width="7.42578125" bestFit="1" customWidth="1"/>
    <col min="2012" max="2012" width="8.140625" bestFit="1" customWidth="1"/>
    <col min="2013" max="2013" width="4.5703125" bestFit="1" customWidth="1"/>
    <col min="2014" max="2014" width="57.5703125" customWidth="1"/>
    <col min="2015" max="2015" width="14.28515625" customWidth="1"/>
    <col min="2016" max="2016" width="0.85546875" customWidth="1"/>
    <col min="2017" max="2017" width="16.5703125" bestFit="1" customWidth="1"/>
    <col min="2018" max="2018" width="13.42578125" bestFit="1" customWidth="1"/>
    <col min="2265" max="2265" width="4.85546875" bestFit="1" customWidth="1"/>
    <col min="2266" max="2266" width="5.85546875" bestFit="1" customWidth="1"/>
    <col min="2267" max="2267" width="7.42578125" bestFit="1" customWidth="1"/>
    <col min="2268" max="2268" width="8.140625" bestFit="1" customWidth="1"/>
    <col min="2269" max="2269" width="4.5703125" bestFit="1" customWidth="1"/>
    <col min="2270" max="2270" width="57.5703125" customWidth="1"/>
    <col min="2271" max="2271" width="14.28515625" customWidth="1"/>
    <col min="2272" max="2272" width="0.85546875" customWidth="1"/>
    <col min="2273" max="2273" width="16.5703125" bestFit="1" customWidth="1"/>
    <col min="2274" max="2274" width="13.42578125" bestFit="1" customWidth="1"/>
    <col min="2521" max="2521" width="4.85546875" bestFit="1" customWidth="1"/>
    <col min="2522" max="2522" width="5.85546875" bestFit="1" customWidth="1"/>
    <col min="2523" max="2523" width="7.42578125" bestFit="1" customWidth="1"/>
    <col min="2524" max="2524" width="8.140625" bestFit="1" customWidth="1"/>
    <col min="2525" max="2525" width="4.5703125" bestFit="1" customWidth="1"/>
    <col min="2526" max="2526" width="57.5703125" customWidth="1"/>
    <col min="2527" max="2527" width="14.28515625" customWidth="1"/>
    <col min="2528" max="2528" width="0.85546875" customWidth="1"/>
    <col min="2529" max="2529" width="16.5703125" bestFit="1" customWidth="1"/>
    <col min="2530" max="2530" width="13.42578125" bestFit="1" customWidth="1"/>
    <col min="2777" max="2777" width="4.85546875" bestFit="1" customWidth="1"/>
    <col min="2778" max="2778" width="5.85546875" bestFit="1" customWidth="1"/>
    <col min="2779" max="2779" width="7.42578125" bestFit="1" customWidth="1"/>
    <col min="2780" max="2780" width="8.140625" bestFit="1" customWidth="1"/>
    <col min="2781" max="2781" width="4.5703125" bestFit="1" customWidth="1"/>
    <col min="2782" max="2782" width="57.5703125" customWidth="1"/>
    <col min="2783" max="2783" width="14.28515625" customWidth="1"/>
    <col min="2784" max="2784" width="0.85546875" customWidth="1"/>
    <col min="2785" max="2785" width="16.5703125" bestFit="1" customWidth="1"/>
    <col min="2786" max="2786" width="13.42578125" bestFit="1" customWidth="1"/>
    <col min="3033" max="3033" width="4.85546875" bestFit="1" customWidth="1"/>
    <col min="3034" max="3034" width="5.85546875" bestFit="1" customWidth="1"/>
    <col min="3035" max="3035" width="7.42578125" bestFit="1" customWidth="1"/>
    <col min="3036" max="3036" width="8.140625" bestFit="1" customWidth="1"/>
    <col min="3037" max="3037" width="4.5703125" bestFit="1" customWidth="1"/>
    <col min="3038" max="3038" width="57.5703125" customWidth="1"/>
    <col min="3039" max="3039" width="14.28515625" customWidth="1"/>
    <col min="3040" max="3040" width="0.85546875" customWidth="1"/>
    <col min="3041" max="3041" width="16.5703125" bestFit="1" customWidth="1"/>
    <col min="3042" max="3042" width="13.42578125" bestFit="1" customWidth="1"/>
    <col min="3289" max="3289" width="4.85546875" bestFit="1" customWidth="1"/>
    <col min="3290" max="3290" width="5.85546875" bestFit="1" customWidth="1"/>
    <col min="3291" max="3291" width="7.42578125" bestFit="1" customWidth="1"/>
    <col min="3292" max="3292" width="8.140625" bestFit="1" customWidth="1"/>
    <col min="3293" max="3293" width="4.5703125" bestFit="1" customWidth="1"/>
    <col min="3294" max="3294" width="57.5703125" customWidth="1"/>
    <col min="3295" max="3295" width="14.28515625" customWidth="1"/>
    <col min="3296" max="3296" width="0.85546875" customWidth="1"/>
    <col min="3297" max="3297" width="16.5703125" bestFit="1" customWidth="1"/>
    <col min="3298" max="3298" width="13.42578125" bestFit="1" customWidth="1"/>
    <col min="3545" max="3545" width="4.85546875" bestFit="1" customWidth="1"/>
    <col min="3546" max="3546" width="5.85546875" bestFit="1" customWidth="1"/>
    <col min="3547" max="3547" width="7.42578125" bestFit="1" customWidth="1"/>
    <col min="3548" max="3548" width="8.140625" bestFit="1" customWidth="1"/>
    <col min="3549" max="3549" width="4.5703125" bestFit="1" customWidth="1"/>
    <col min="3550" max="3550" width="57.5703125" customWidth="1"/>
    <col min="3551" max="3551" width="14.28515625" customWidth="1"/>
    <col min="3552" max="3552" width="0.85546875" customWidth="1"/>
    <col min="3553" max="3553" width="16.5703125" bestFit="1" customWidth="1"/>
    <col min="3554" max="3554" width="13.42578125" bestFit="1" customWidth="1"/>
    <col min="3801" max="3801" width="4.85546875" bestFit="1" customWidth="1"/>
    <col min="3802" max="3802" width="5.85546875" bestFit="1" customWidth="1"/>
    <col min="3803" max="3803" width="7.42578125" bestFit="1" customWidth="1"/>
    <col min="3804" max="3804" width="8.140625" bestFit="1" customWidth="1"/>
    <col min="3805" max="3805" width="4.5703125" bestFit="1" customWidth="1"/>
    <col min="3806" max="3806" width="57.5703125" customWidth="1"/>
    <col min="3807" max="3807" width="14.28515625" customWidth="1"/>
    <col min="3808" max="3808" width="0.85546875" customWidth="1"/>
    <col min="3809" max="3809" width="16.5703125" bestFit="1" customWidth="1"/>
    <col min="3810" max="3810" width="13.42578125" bestFit="1" customWidth="1"/>
    <col min="4057" max="4057" width="4.85546875" bestFit="1" customWidth="1"/>
    <col min="4058" max="4058" width="5.85546875" bestFit="1" customWidth="1"/>
    <col min="4059" max="4059" width="7.42578125" bestFit="1" customWidth="1"/>
    <col min="4060" max="4060" width="8.140625" bestFit="1" customWidth="1"/>
    <col min="4061" max="4061" width="4.5703125" bestFit="1" customWidth="1"/>
    <col min="4062" max="4062" width="57.5703125" customWidth="1"/>
    <col min="4063" max="4063" width="14.28515625" customWidth="1"/>
    <col min="4064" max="4064" width="0.85546875" customWidth="1"/>
    <col min="4065" max="4065" width="16.5703125" bestFit="1" customWidth="1"/>
    <col min="4066" max="4066" width="13.42578125" bestFit="1" customWidth="1"/>
    <col min="4313" max="4313" width="4.85546875" bestFit="1" customWidth="1"/>
    <col min="4314" max="4314" width="5.85546875" bestFit="1" customWidth="1"/>
    <col min="4315" max="4315" width="7.42578125" bestFit="1" customWidth="1"/>
    <col min="4316" max="4316" width="8.140625" bestFit="1" customWidth="1"/>
    <col min="4317" max="4317" width="4.5703125" bestFit="1" customWidth="1"/>
    <col min="4318" max="4318" width="57.5703125" customWidth="1"/>
    <col min="4319" max="4319" width="14.28515625" customWidth="1"/>
    <col min="4320" max="4320" width="0.85546875" customWidth="1"/>
    <col min="4321" max="4321" width="16.5703125" bestFit="1" customWidth="1"/>
    <col min="4322" max="4322" width="13.42578125" bestFit="1" customWidth="1"/>
    <col min="4569" max="4569" width="4.85546875" bestFit="1" customWidth="1"/>
    <col min="4570" max="4570" width="5.85546875" bestFit="1" customWidth="1"/>
    <col min="4571" max="4571" width="7.42578125" bestFit="1" customWidth="1"/>
    <col min="4572" max="4572" width="8.140625" bestFit="1" customWidth="1"/>
    <col min="4573" max="4573" width="4.5703125" bestFit="1" customWidth="1"/>
    <col min="4574" max="4574" width="57.5703125" customWidth="1"/>
    <col min="4575" max="4575" width="14.28515625" customWidth="1"/>
    <col min="4576" max="4576" width="0.85546875" customWidth="1"/>
    <col min="4577" max="4577" width="16.5703125" bestFit="1" customWidth="1"/>
    <col min="4578" max="4578" width="13.42578125" bestFit="1" customWidth="1"/>
    <col min="4825" max="4825" width="4.85546875" bestFit="1" customWidth="1"/>
    <col min="4826" max="4826" width="5.85546875" bestFit="1" customWidth="1"/>
    <col min="4827" max="4827" width="7.42578125" bestFit="1" customWidth="1"/>
    <col min="4828" max="4828" width="8.140625" bestFit="1" customWidth="1"/>
    <col min="4829" max="4829" width="4.5703125" bestFit="1" customWidth="1"/>
    <col min="4830" max="4830" width="57.5703125" customWidth="1"/>
    <col min="4831" max="4831" width="14.28515625" customWidth="1"/>
    <col min="4832" max="4832" width="0.85546875" customWidth="1"/>
    <col min="4833" max="4833" width="16.5703125" bestFit="1" customWidth="1"/>
    <col min="4834" max="4834" width="13.42578125" bestFit="1" customWidth="1"/>
    <col min="5081" max="5081" width="4.85546875" bestFit="1" customWidth="1"/>
    <col min="5082" max="5082" width="5.85546875" bestFit="1" customWidth="1"/>
    <col min="5083" max="5083" width="7.42578125" bestFit="1" customWidth="1"/>
    <col min="5084" max="5084" width="8.140625" bestFit="1" customWidth="1"/>
    <col min="5085" max="5085" width="4.5703125" bestFit="1" customWidth="1"/>
    <col min="5086" max="5086" width="57.5703125" customWidth="1"/>
    <col min="5087" max="5087" width="14.28515625" customWidth="1"/>
    <col min="5088" max="5088" width="0.85546875" customWidth="1"/>
    <col min="5089" max="5089" width="16.5703125" bestFit="1" customWidth="1"/>
    <col min="5090" max="5090" width="13.42578125" bestFit="1" customWidth="1"/>
    <col min="5337" max="5337" width="4.85546875" bestFit="1" customWidth="1"/>
    <col min="5338" max="5338" width="5.85546875" bestFit="1" customWidth="1"/>
    <col min="5339" max="5339" width="7.42578125" bestFit="1" customWidth="1"/>
    <col min="5340" max="5340" width="8.140625" bestFit="1" customWidth="1"/>
    <col min="5341" max="5341" width="4.5703125" bestFit="1" customWidth="1"/>
    <col min="5342" max="5342" width="57.5703125" customWidth="1"/>
    <col min="5343" max="5343" width="14.28515625" customWidth="1"/>
    <col min="5344" max="5344" width="0.85546875" customWidth="1"/>
    <col min="5345" max="5345" width="16.5703125" bestFit="1" customWidth="1"/>
    <col min="5346" max="5346" width="13.42578125" bestFit="1" customWidth="1"/>
    <col min="5593" max="5593" width="4.85546875" bestFit="1" customWidth="1"/>
    <col min="5594" max="5594" width="5.85546875" bestFit="1" customWidth="1"/>
    <col min="5595" max="5595" width="7.42578125" bestFit="1" customWidth="1"/>
    <col min="5596" max="5596" width="8.140625" bestFit="1" customWidth="1"/>
    <col min="5597" max="5597" width="4.5703125" bestFit="1" customWidth="1"/>
    <col min="5598" max="5598" width="57.5703125" customWidth="1"/>
    <col min="5599" max="5599" width="14.28515625" customWidth="1"/>
    <col min="5600" max="5600" width="0.85546875" customWidth="1"/>
    <col min="5601" max="5601" width="16.5703125" bestFit="1" customWidth="1"/>
    <col min="5602" max="5602" width="13.42578125" bestFit="1" customWidth="1"/>
    <col min="5849" max="5849" width="4.85546875" bestFit="1" customWidth="1"/>
    <col min="5850" max="5850" width="5.85546875" bestFit="1" customWidth="1"/>
    <col min="5851" max="5851" width="7.42578125" bestFit="1" customWidth="1"/>
    <col min="5852" max="5852" width="8.140625" bestFit="1" customWidth="1"/>
    <col min="5853" max="5853" width="4.5703125" bestFit="1" customWidth="1"/>
    <col min="5854" max="5854" width="57.5703125" customWidth="1"/>
    <col min="5855" max="5855" width="14.28515625" customWidth="1"/>
    <col min="5856" max="5856" width="0.85546875" customWidth="1"/>
    <col min="5857" max="5857" width="16.5703125" bestFit="1" customWidth="1"/>
    <col min="5858" max="5858" width="13.42578125" bestFit="1" customWidth="1"/>
    <col min="6105" max="6105" width="4.85546875" bestFit="1" customWidth="1"/>
    <col min="6106" max="6106" width="5.85546875" bestFit="1" customWidth="1"/>
    <col min="6107" max="6107" width="7.42578125" bestFit="1" customWidth="1"/>
    <col min="6108" max="6108" width="8.140625" bestFit="1" customWidth="1"/>
    <col min="6109" max="6109" width="4.5703125" bestFit="1" customWidth="1"/>
    <col min="6110" max="6110" width="57.5703125" customWidth="1"/>
    <col min="6111" max="6111" width="14.28515625" customWidth="1"/>
    <col min="6112" max="6112" width="0.85546875" customWidth="1"/>
    <col min="6113" max="6113" width="16.5703125" bestFit="1" customWidth="1"/>
    <col min="6114" max="6114" width="13.42578125" bestFit="1" customWidth="1"/>
    <col min="6361" max="6361" width="4.85546875" bestFit="1" customWidth="1"/>
    <col min="6362" max="6362" width="5.85546875" bestFit="1" customWidth="1"/>
    <col min="6363" max="6363" width="7.42578125" bestFit="1" customWidth="1"/>
    <col min="6364" max="6364" width="8.140625" bestFit="1" customWidth="1"/>
    <col min="6365" max="6365" width="4.5703125" bestFit="1" customWidth="1"/>
    <col min="6366" max="6366" width="57.5703125" customWidth="1"/>
    <col min="6367" max="6367" width="14.28515625" customWidth="1"/>
    <col min="6368" max="6368" width="0.85546875" customWidth="1"/>
    <col min="6369" max="6369" width="16.5703125" bestFit="1" customWidth="1"/>
    <col min="6370" max="6370" width="13.42578125" bestFit="1" customWidth="1"/>
    <col min="6617" max="6617" width="4.85546875" bestFit="1" customWidth="1"/>
    <col min="6618" max="6618" width="5.85546875" bestFit="1" customWidth="1"/>
    <col min="6619" max="6619" width="7.42578125" bestFit="1" customWidth="1"/>
    <col min="6620" max="6620" width="8.140625" bestFit="1" customWidth="1"/>
    <col min="6621" max="6621" width="4.5703125" bestFit="1" customWidth="1"/>
    <col min="6622" max="6622" width="57.5703125" customWidth="1"/>
    <col min="6623" max="6623" width="14.28515625" customWidth="1"/>
    <col min="6624" max="6624" width="0.85546875" customWidth="1"/>
    <col min="6625" max="6625" width="16.5703125" bestFit="1" customWidth="1"/>
    <col min="6626" max="6626" width="13.42578125" bestFit="1" customWidth="1"/>
    <col min="6873" max="6873" width="4.85546875" bestFit="1" customWidth="1"/>
    <col min="6874" max="6874" width="5.85546875" bestFit="1" customWidth="1"/>
    <col min="6875" max="6875" width="7.42578125" bestFit="1" customWidth="1"/>
    <col min="6876" max="6876" width="8.140625" bestFit="1" customWidth="1"/>
    <col min="6877" max="6877" width="4.5703125" bestFit="1" customWidth="1"/>
    <col min="6878" max="6878" width="57.5703125" customWidth="1"/>
    <col min="6879" max="6879" width="14.28515625" customWidth="1"/>
    <col min="6880" max="6880" width="0.85546875" customWidth="1"/>
    <col min="6881" max="6881" width="16.5703125" bestFit="1" customWidth="1"/>
    <col min="6882" max="6882" width="13.42578125" bestFit="1" customWidth="1"/>
    <col min="7129" max="7129" width="4.85546875" bestFit="1" customWidth="1"/>
    <col min="7130" max="7130" width="5.85546875" bestFit="1" customWidth="1"/>
    <col min="7131" max="7131" width="7.42578125" bestFit="1" customWidth="1"/>
    <col min="7132" max="7132" width="8.140625" bestFit="1" customWidth="1"/>
    <col min="7133" max="7133" width="4.5703125" bestFit="1" customWidth="1"/>
    <col min="7134" max="7134" width="57.5703125" customWidth="1"/>
    <col min="7135" max="7135" width="14.28515625" customWidth="1"/>
    <col min="7136" max="7136" width="0.85546875" customWidth="1"/>
    <col min="7137" max="7137" width="16.5703125" bestFit="1" customWidth="1"/>
    <col min="7138" max="7138" width="13.42578125" bestFit="1" customWidth="1"/>
    <col min="7385" max="7385" width="4.85546875" bestFit="1" customWidth="1"/>
    <col min="7386" max="7386" width="5.85546875" bestFit="1" customWidth="1"/>
    <col min="7387" max="7387" width="7.42578125" bestFit="1" customWidth="1"/>
    <col min="7388" max="7388" width="8.140625" bestFit="1" customWidth="1"/>
    <col min="7389" max="7389" width="4.5703125" bestFit="1" customWidth="1"/>
    <col min="7390" max="7390" width="57.5703125" customWidth="1"/>
    <col min="7391" max="7391" width="14.28515625" customWidth="1"/>
    <col min="7392" max="7392" width="0.85546875" customWidth="1"/>
    <col min="7393" max="7393" width="16.5703125" bestFit="1" customWidth="1"/>
    <col min="7394" max="7394" width="13.42578125" bestFit="1" customWidth="1"/>
    <col min="7641" max="7641" width="4.85546875" bestFit="1" customWidth="1"/>
    <col min="7642" max="7642" width="5.85546875" bestFit="1" customWidth="1"/>
    <col min="7643" max="7643" width="7.42578125" bestFit="1" customWidth="1"/>
    <col min="7644" max="7644" width="8.140625" bestFit="1" customWidth="1"/>
    <col min="7645" max="7645" width="4.5703125" bestFit="1" customWidth="1"/>
    <col min="7646" max="7646" width="57.5703125" customWidth="1"/>
    <col min="7647" max="7647" width="14.28515625" customWidth="1"/>
    <col min="7648" max="7648" width="0.85546875" customWidth="1"/>
    <col min="7649" max="7649" width="16.5703125" bestFit="1" customWidth="1"/>
    <col min="7650" max="7650" width="13.42578125" bestFit="1" customWidth="1"/>
    <col min="7897" max="7897" width="4.85546875" bestFit="1" customWidth="1"/>
    <col min="7898" max="7898" width="5.85546875" bestFit="1" customWidth="1"/>
    <col min="7899" max="7899" width="7.42578125" bestFit="1" customWidth="1"/>
    <col min="7900" max="7900" width="8.140625" bestFit="1" customWidth="1"/>
    <col min="7901" max="7901" width="4.5703125" bestFit="1" customWidth="1"/>
    <col min="7902" max="7902" width="57.5703125" customWidth="1"/>
    <col min="7903" max="7903" width="14.28515625" customWidth="1"/>
    <col min="7904" max="7904" width="0.85546875" customWidth="1"/>
    <col min="7905" max="7905" width="16.5703125" bestFit="1" customWidth="1"/>
    <col min="7906" max="7906" width="13.42578125" bestFit="1" customWidth="1"/>
    <col min="8153" max="8153" width="4.85546875" bestFit="1" customWidth="1"/>
    <col min="8154" max="8154" width="5.85546875" bestFit="1" customWidth="1"/>
    <col min="8155" max="8155" width="7.42578125" bestFit="1" customWidth="1"/>
    <col min="8156" max="8156" width="8.140625" bestFit="1" customWidth="1"/>
    <col min="8157" max="8157" width="4.5703125" bestFit="1" customWidth="1"/>
    <col min="8158" max="8158" width="57.5703125" customWidth="1"/>
    <col min="8159" max="8159" width="14.28515625" customWidth="1"/>
    <col min="8160" max="8160" width="0.85546875" customWidth="1"/>
    <col min="8161" max="8161" width="16.5703125" bestFit="1" customWidth="1"/>
    <col min="8162" max="8162" width="13.42578125" bestFit="1" customWidth="1"/>
    <col min="8409" max="8409" width="4.85546875" bestFit="1" customWidth="1"/>
    <col min="8410" max="8410" width="5.85546875" bestFit="1" customWidth="1"/>
    <col min="8411" max="8411" width="7.42578125" bestFit="1" customWidth="1"/>
    <col min="8412" max="8412" width="8.140625" bestFit="1" customWidth="1"/>
    <col min="8413" max="8413" width="4.5703125" bestFit="1" customWidth="1"/>
    <col min="8414" max="8414" width="57.5703125" customWidth="1"/>
    <col min="8415" max="8415" width="14.28515625" customWidth="1"/>
    <col min="8416" max="8416" width="0.85546875" customWidth="1"/>
    <col min="8417" max="8417" width="16.5703125" bestFit="1" customWidth="1"/>
    <col min="8418" max="8418" width="13.42578125" bestFit="1" customWidth="1"/>
    <col min="8665" max="8665" width="4.85546875" bestFit="1" customWidth="1"/>
    <col min="8666" max="8666" width="5.85546875" bestFit="1" customWidth="1"/>
    <col min="8667" max="8667" width="7.42578125" bestFit="1" customWidth="1"/>
    <col min="8668" max="8668" width="8.140625" bestFit="1" customWidth="1"/>
    <col min="8669" max="8669" width="4.5703125" bestFit="1" customWidth="1"/>
    <col min="8670" max="8670" width="57.5703125" customWidth="1"/>
    <col min="8671" max="8671" width="14.28515625" customWidth="1"/>
    <col min="8672" max="8672" width="0.85546875" customWidth="1"/>
    <col min="8673" max="8673" width="16.5703125" bestFit="1" customWidth="1"/>
    <col min="8674" max="8674" width="13.42578125" bestFit="1" customWidth="1"/>
    <col min="8921" max="8921" width="4.85546875" bestFit="1" customWidth="1"/>
    <col min="8922" max="8922" width="5.85546875" bestFit="1" customWidth="1"/>
    <col min="8923" max="8923" width="7.42578125" bestFit="1" customWidth="1"/>
    <col min="8924" max="8924" width="8.140625" bestFit="1" customWidth="1"/>
    <col min="8925" max="8925" width="4.5703125" bestFit="1" customWidth="1"/>
    <col min="8926" max="8926" width="57.5703125" customWidth="1"/>
    <col min="8927" max="8927" width="14.28515625" customWidth="1"/>
    <col min="8928" max="8928" width="0.85546875" customWidth="1"/>
    <col min="8929" max="8929" width="16.5703125" bestFit="1" customWidth="1"/>
    <col min="8930" max="8930" width="13.42578125" bestFit="1" customWidth="1"/>
    <col min="9177" max="9177" width="4.85546875" bestFit="1" customWidth="1"/>
    <col min="9178" max="9178" width="5.85546875" bestFit="1" customWidth="1"/>
    <col min="9179" max="9179" width="7.42578125" bestFit="1" customWidth="1"/>
    <col min="9180" max="9180" width="8.140625" bestFit="1" customWidth="1"/>
    <col min="9181" max="9181" width="4.5703125" bestFit="1" customWidth="1"/>
    <col min="9182" max="9182" width="57.5703125" customWidth="1"/>
    <col min="9183" max="9183" width="14.28515625" customWidth="1"/>
    <col min="9184" max="9184" width="0.85546875" customWidth="1"/>
    <col min="9185" max="9185" width="16.5703125" bestFit="1" customWidth="1"/>
    <col min="9186" max="9186" width="13.42578125" bestFit="1" customWidth="1"/>
    <col min="9433" max="9433" width="4.85546875" bestFit="1" customWidth="1"/>
    <col min="9434" max="9434" width="5.85546875" bestFit="1" customWidth="1"/>
    <col min="9435" max="9435" width="7.42578125" bestFit="1" customWidth="1"/>
    <col min="9436" max="9436" width="8.140625" bestFit="1" customWidth="1"/>
    <col min="9437" max="9437" width="4.5703125" bestFit="1" customWidth="1"/>
    <col min="9438" max="9438" width="57.5703125" customWidth="1"/>
    <col min="9439" max="9439" width="14.28515625" customWidth="1"/>
    <col min="9440" max="9440" width="0.85546875" customWidth="1"/>
    <col min="9441" max="9441" width="16.5703125" bestFit="1" customWidth="1"/>
    <col min="9442" max="9442" width="13.42578125" bestFit="1" customWidth="1"/>
    <col min="9689" max="9689" width="4.85546875" bestFit="1" customWidth="1"/>
    <col min="9690" max="9690" width="5.85546875" bestFit="1" customWidth="1"/>
    <col min="9691" max="9691" width="7.42578125" bestFit="1" customWidth="1"/>
    <col min="9692" max="9692" width="8.140625" bestFit="1" customWidth="1"/>
    <col min="9693" max="9693" width="4.5703125" bestFit="1" customWidth="1"/>
    <col min="9694" max="9694" width="57.5703125" customWidth="1"/>
    <col min="9695" max="9695" width="14.28515625" customWidth="1"/>
    <col min="9696" max="9696" width="0.85546875" customWidth="1"/>
    <col min="9697" max="9697" width="16.5703125" bestFit="1" customWidth="1"/>
    <col min="9698" max="9698" width="13.42578125" bestFit="1" customWidth="1"/>
    <col min="9945" max="9945" width="4.85546875" bestFit="1" customWidth="1"/>
    <col min="9946" max="9946" width="5.85546875" bestFit="1" customWidth="1"/>
    <col min="9947" max="9947" width="7.42578125" bestFit="1" customWidth="1"/>
    <col min="9948" max="9948" width="8.140625" bestFit="1" customWidth="1"/>
    <col min="9949" max="9949" width="4.5703125" bestFit="1" customWidth="1"/>
    <col min="9950" max="9950" width="57.5703125" customWidth="1"/>
    <col min="9951" max="9951" width="14.28515625" customWidth="1"/>
    <col min="9952" max="9952" width="0.85546875" customWidth="1"/>
    <col min="9953" max="9953" width="16.5703125" bestFit="1" customWidth="1"/>
    <col min="9954" max="9954" width="13.42578125" bestFit="1" customWidth="1"/>
    <col min="10201" max="10201" width="4.85546875" bestFit="1" customWidth="1"/>
    <col min="10202" max="10202" width="5.85546875" bestFit="1" customWidth="1"/>
    <col min="10203" max="10203" width="7.42578125" bestFit="1" customWidth="1"/>
    <col min="10204" max="10204" width="8.140625" bestFit="1" customWidth="1"/>
    <col min="10205" max="10205" width="4.5703125" bestFit="1" customWidth="1"/>
    <col min="10206" max="10206" width="57.5703125" customWidth="1"/>
    <col min="10207" max="10207" width="14.28515625" customWidth="1"/>
    <col min="10208" max="10208" width="0.85546875" customWidth="1"/>
    <col min="10209" max="10209" width="16.5703125" bestFit="1" customWidth="1"/>
    <col min="10210" max="10210" width="13.42578125" bestFit="1" customWidth="1"/>
    <col min="10457" max="10457" width="4.85546875" bestFit="1" customWidth="1"/>
    <col min="10458" max="10458" width="5.85546875" bestFit="1" customWidth="1"/>
    <col min="10459" max="10459" width="7.42578125" bestFit="1" customWidth="1"/>
    <col min="10460" max="10460" width="8.140625" bestFit="1" customWidth="1"/>
    <col min="10461" max="10461" width="4.5703125" bestFit="1" customWidth="1"/>
    <col min="10462" max="10462" width="57.5703125" customWidth="1"/>
    <col min="10463" max="10463" width="14.28515625" customWidth="1"/>
    <col min="10464" max="10464" width="0.85546875" customWidth="1"/>
    <col min="10465" max="10465" width="16.5703125" bestFit="1" customWidth="1"/>
    <col min="10466" max="10466" width="13.42578125" bestFit="1" customWidth="1"/>
    <col min="10713" max="10713" width="4.85546875" bestFit="1" customWidth="1"/>
    <col min="10714" max="10714" width="5.85546875" bestFit="1" customWidth="1"/>
    <col min="10715" max="10715" width="7.42578125" bestFit="1" customWidth="1"/>
    <col min="10716" max="10716" width="8.140625" bestFit="1" customWidth="1"/>
    <col min="10717" max="10717" width="4.5703125" bestFit="1" customWidth="1"/>
    <col min="10718" max="10718" width="57.5703125" customWidth="1"/>
    <col min="10719" max="10719" width="14.28515625" customWidth="1"/>
    <col min="10720" max="10720" width="0.85546875" customWidth="1"/>
    <col min="10721" max="10721" width="16.5703125" bestFit="1" customWidth="1"/>
    <col min="10722" max="10722" width="13.42578125" bestFit="1" customWidth="1"/>
    <col min="10969" max="10969" width="4.85546875" bestFit="1" customWidth="1"/>
    <col min="10970" max="10970" width="5.85546875" bestFit="1" customWidth="1"/>
    <col min="10971" max="10971" width="7.42578125" bestFit="1" customWidth="1"/>
    <col min="10972" max="10972" width="8.140625" bestFit="1" customWidth="1"/>
    <col min="10973" max="10973" width="4.5703125" bestFit="1" customWidth="1"/>
    <col min="10974" max="10974" width="57.5703125" customWidth="1"/>
    <col min="10975" max="10975" width="14.28515625" customWidth="1"/>
    <col min="10976" max="10976" width="0.85546875" customWidth="1"/>
    <col min="10977" max="10977" width="16.5703125" bestFit="1" customWidth="1"/>
    <col min="10978" max="10978" width="13.42578125" bestFit="1" customWidth="1"/>
    <col min="11225" max="11225" width="4.85546875" bestFit="1" customWidth="1"/>
    <col min="11226" max="11226" width="5.85546875" bestFit="1" customWidth="1"/>
    <col min="11227" max="11227" width="7.42578125" bestFit="1" customWidth="1"/>
    <col min="11228" max="11228" width="8.140625" bestFit="1" customWidth="1"/>
    <col min="11229" max="11229" width="4.5703125" bestFit="1" customWidth="1"/>
    <col min="11230" max="11230" width="57.5703125" customWidth="1"/>
    <col min="11231" max="11231" width="14.28515625" customWidth="1"/>
    <col min="11232" max="11232" width="0.85546875" customWidth="1"/>
    <col min="11233" max="11233" width="16.5703125" bestFit="1" customWidth="1"/>
    <col min="11234" max="11234" width="13.42578125" bestFit="1" customWidth="1"/>
    <col min="11481" max="11481" width="4.85546875" bestFit="1" customWidth="1"/>
    <col min="11482" max="11482" width="5.85546875" bestFit="1" customWidth="1"/>
    <col min="11483" max="11483" width="7.42578125" bestFit="1" customWidth="1"/>
    <col min="11484" max="11484" width="8.140625" bestFit="1" customWidth="1"/>
    <col min="11485" max="11485" width="4.5703125" bestFit="1" customWidth="1"/>
    <col min="11486" max="11486" width="57.5703125" customWidth="1"/>
    <col min="11487" max="11487" width="14.28515625" customWidth="1"/>
    <col min="11488" max="11488" width="0.85546875" customWidth="1"/>
    <col min="11489" max="11489" width="16.5703125" bestFit="1" customWidth="1"/>
    <col min="11490" max="11490" width="13.42578125" bestFit="1" customWidth="1"/>
    <col min="11737" max="11737" width="4.85546875" bestFit="1" customWidth="1"/>
    <col min="11738" max="11738" width="5.85546875" bestFit="1" customWidth="1"/>
    <col min="11739" max="11739" width="7.42578125" bestFit="1" customWidth="1"/>
    <col min="11740" max="11740" width="8.140625" bestFit="1" customWidth="1"/>
    <col min="11741" max="11741" width="4.5703125" bestFit="1" customWidth="1"/>
    <col min="11742" max="11742" width="57.5703125" customWidth="1"/>
    <col min="11743" max="11743" width="14.28515625" customWidth="1"/>
    <col min="11744" max="11744" width="0.85546875" customWidth="1"/>
    <col min="11745" max="11745" width="16.5703125" bestFit="1" customWidth="1"/>
    <col min="11746" max="11746" width="13.42578125" bestFit="1" customWidth="1"/>
    <col min="11993" max="11993" width="4.85546875" bestFit="1" customWidth="1"/>
    <col min="11994" max="11994" width="5.85546875" bestFit="1" customWidth="1"/>
    <col min="11995" max="11995" width="7.42578125" bestFit="1" customWidth="1"/>
    <col min="11996" max="11996" width="8.140625" bestFit="1" customWidth="1"/>
    <col min="11997" max="11997" width="4.5703125" bestFit="1" customWidth="1"/>
    <col min="11998" max="11998" width="57.5703125" customWidth="1"/>
    <col min="11999" max="11999" width="14.28515625" customWidth="1"/>
    <col min="12000" max="12000" width="0.85546875" customWidth="1"/>
    <col min="12001" max="12001" width="16.5703125" bestFit="1" customWidth="1"/>
    <col min="12002" max="12002" width="13.42578125" bestFit="1" customWidth="1"/>
    <col min="12249" max="12249" width="4.85546875" bestFit="1" customWidth="1"/>
    <col min="12250" max="12250" width="5.85546875" bestFit="1" customWidth="1"/>
    <col min="12251" max="12251" width="7.42578125" bestFit="1" customWidth="1"/>
    <col min="12252" max="12252" width="8.140625" bestFit="1" customWidth="1"/>
    <col min="12253" max="12253" width="4.5703125" bestFit="1" customWidth="1"/>
    <col min="12254" max="12254" width="57.5703125" customWidth="1"/>
    <col min="12255" max="12255" width="14.28515625" customWidth="1"/>
    <col min="12256" max="12256" width="0.85546875" customWidth="1"/>
    <col min="12257" max="12257" width="16.5703125" bestFit="1" customWidth="1"/>
    <col min="12258" max="12258" width="13.42578125" bestFit="1" customWidth="1"/>
    <col min="12505" max="12505" width="4.85546875" bestFit="1" customWidth="1"/>
    <col min="12506" max="12506" width="5.85546875" bestFit="1" customWidth="1"/>
    <col min="12507" max="12507" width="7.42578125" bestFit="1" customWidth="1"/>
    <col min="12508" max="12508" width="8.140625" bestFit="1" customWidth="1"/>
    <col min="12509" max="12509" width="4.5703125" bestFit="1" customWidth="1"/>
    <col min="12510" max="12510" width="57.5703125" customWidth="1"/>
    <col min="12511" max="12511" width="14.28515625" customWidth="1"/>
    <col min="12512" max="12512" width="0.85546875" customWidth="1"/>
    <col min="12513" max="12513" width="16.5703125" bestFit="1" customWidth="1"/>
    <col min="12514" max="12514" width="13.42578125" bestFit="1" customWidth="1"/>
    <col min="12761" max="12761" width="4.85546875" bestFit="1" customWidth="1"/>
    <col min="12762" max="12762" width="5.85546875" bestFit="1" customWidth="1"/>
    <col min="12763" max="12763" width="7.42578125" bestFit="1" customWidth="1"/>
    <col min="12764" max="12764" width="8.140625" bestFit="1" customWidth="1"/>
    <col min="12765" max="12765" width="4.5703125" bestFit="1" customWidth="1"/>
    <col min="12766" max="12766" width="57.5703125" customWidth="1"/>
    <col min="12767" max="12767" width="14.28515625" customWidth="1"/>
    <col min="12768" max="12768" width="0.85546875" customWidth="1"/>
    <col min="12769" max="12769" width="16.5703125" bestFit="1" customWidth="1"/>
    <col min="12770" max="12770" width="13.42578125" bestFit="1" customWidth="1"/>
    <col min="13017" max="13017" width="4.85546875" bestFit="1" customWidth="1"/>
    <col min="13018" max="13018" width="5.85546875" bestFit="1" customWidth="1"/>
    <col min="13019" max="13019" width="7.42578125" bestFit="1" customWidth="1"/>
    <col min="13020" max="13020" width="8.140625" bestFit="1" customWidth="1"/>
    <col min="13021" max="13021" width="4.5703125" bestFit="1" customWidth="1"/>
    <col min="13022" max="13022" width="57.5703125" customWidth="1"/>
    <col min="13023" max="13023" width="14.28515625" customWidth="1"/>
    <col min="13024" max="13024" width="0.85546875" customWidth="1"/>
    <col min="13025" max="13025" width="16.5703125" bestFit="1" customWidth="1"/>
    <col min="13026" max="13026" width="13.42578125" bestFit="1" customWidth="1"/>
    <col min="13273" max="13273" width="4.85546875" bestFit="1" customWidth="1"/>
    <col min="13274" max="13274" width="5.85546875" bestFit="1" customWidth="1"/>
    <col min="13275" max="13275" width="7.42578125" bestFit="1" customWidth="1"/>
    <col min="13276" max="13276" width="8.140625" bestFit="1" customWidth="1"/>
    <col min="13277" max="13277" width="4.5703125" bestFit="1" customWidth="1"/>
    <col min="13278" max="13278" width="57.5703125" customWidth="1"/>
    <col min="13279" max="13279" width="14.28515625" customWidth="1"/>
    <col min="13280" max="13280" width="0.85546875" customWidth="1"/>
    <col min="13281" max="13281" width="16.5703125" bestFit="1" customWidth="1"/>
    <col min="13282" max="13282" width="13.42578125" bestFit="1" customWidth="1"/>
    <col min="13529" max="13529" width="4.85546875" bestFit="1" customWidth="1"/>
    <col min="13530" max="13530" width="5.85546875" bestFit="1" customWidth="1"/>
    <col min="13531" max="13531" width="7.42578125" bestFit="1" customWidth="1"/>
    <col min="13532" max="13532" width="8.140625" bestFit="1" customWidth="1"/>
    <col min="13533" max="13533" width="4.5703125" bestFit="1" customWidth="1"/>
    <col min="13534" max="13534" width="57.5703125" customWidth="1"/>
    <col min="13535" max="13535" width="14.28515625" customWidth="1"/>
    <col min="13536" max="13536" width="0.85546875" customWidth="1"/>
    <col min="13537" max="13537" width="16.5703125" bestFit="1" customWidth="1"/>
    <col min="13538" max="13538" width="13.42578125" bestFit="1" customWidth="1"/>
    <col min="13785" max="13785" width="4.85546875" bestFit="1" customWidth="1"/>
    <col min="13786" max="13786" width="5.85546875" bestFit="1" customWidth="1"/>
    <col min="13787" max="13787" width="7.42578125" bestFit="1" customWidth="1"/>
    <col min="13788" max="13788" width="8.140625" bestFit="1" customWidth="1"/>
    <col min="13789" max="13789" width="4.5703125" bestFit="1" customWidth="1"/>
    <col min="13790" max="13790" width="57.5703125" customWidth="1"/>
    <col min="13791" max="13791" width="14.28515625" customWidth="1"/>
    <col min="13792" max="13792" width="0.85546875" customWidth="1"/>
    <col min="13793" max="13793" width="16.5703125" bestFit="1" customWidth="1"/>
    <col min="13794" max="13794" width="13.42578125" bestFit="1" customWidth="1"/>
    <col min="14041" max="14041" width="4.85546875" bestFit="1" customWidth="1"/>
    <col min="14042" max="14042" width="5.85546875" bestFit="1" customWidth="1"/>
    <col min="14043" max="14043" width="7.42578125" bestFit="1" customWidth="1"/>
    <col min="14044" max="14044" width="8.140625" bestFit="1" customWidth="1"/>
    <col min="14045" max="14045" width="4.5703125" bestFit="1" customWidth="1"/>
    <col min="14046" max="14046" width="57.5703125" customWidth="1"/>
    <col min="14047" max="14047" width="14.28515625" customWidth="1"/>
    <col min="14048" max="14048" width="0.85546875" customWidth="1"/>
    <col min="14049" max="14049" width="16.5703125" bestFit="1" customWidth="1"/>
    <col min="14050" max="14050" width="13.42578125" bestFit="1" customWidth="1"/>
    <col min="14297" max="14297" width="4.85546875" bestFit="1" customWidth="1"/>
    <col min="14298" max="14298" width="5.85546875" bestFit="1" customWidth="1"/>
    <col min="14299" max="14299" width="7.42578125" bestFit="1" customWidth="1"/>
    <col min="14300" max="14300" width="8.140625" bestFit="1" customWidth="1"/>
    <col min="14301" max="14301" width="4.5703125" bestFit="1" customWidth="1"/>
    <col min="14302" max="14302" width="57.5703125" customWidth="1"/>
    <col min="14303" max="14303" width="14.28515625" customWidth="1"/>
    <col min="14304" max="14304" width="0.85546875" customWidth="1"/>
    <col min="14305" max="14305" width="16.5703125" bestFit="1" customWidth="1"/>
    <col min="14306" max="14306" width="13.42578125" bestFit="1" customWidth="1"/>
    <col min="14553" max="14553" width="4.85546875" bestFit="1" customWidth="1"/>
    <col min="14554" max="14554" width="5.85546875" bestFit="1" customWidth="1"/>
    <col min="14555" max="14555" width="7.42578125" bestFit="1" customWidth="1"/>
    <col min="14556" max="14556" width="8.140625" bestFit="1" customWidth="1"/>
    <col min="14557" max="14557" width="4.5703125" bestFit="1" customWidth="1"/>
    <col min="14558" max="14558" width="57.5703125" customWidth="1"/>
    <col min="14559" max="14559" width="14.28515625" customWidth="1"/>
    <col min="14560" max="14560" width="0.85546875" customWidth="1"/>
    <col min="14561" max="14561" width="16.5703125" bestFit="1" customWidth="1"/>
    <col min="14562" max="14562" width="13.42578125" bestFit="1" customWidth="1"/>
    <col min="14809" max="14809" width="4.85546875" bestFit="1" customWidth="1"/>
    <col min="14810" max="14810" width="5.85546875" bestFit="1" customWidth="1"/>
    <col min="14811" max="14811" width="7.42578125" bestFit="1" customWidth="1"/>
    <col min="14812" max="14812" width="8.140625" bestFit="1" customWidth="1"/>
    <col min="14813" max="14813" width="4.5703125" bestFit="1" customWidth="1"/>
    <col min="14814" max="14814" width="57.5703125" customWidth="1"/>
    <col min="14815" max="14815" width="14.28515625" customWidth="1"/>
    <col min="14816" max="14816" width="0.85546875" customWidth="1"/>
    <col min="14817" max="14817" width="16.5703125" bestFit="1" customWidth="1"/>
    <col min="14818" max="14818" width="13.42578125" bestFit="1" customWidth="1"/>
    <col min="15065" max="15065" width="4.85546875" bestFit="1" customWidth="1"/>
    <col min="15066" max="15066" width="5.85546875" bestFit="1" customWidth="1"/>
    <col min="15067" max="15067" width="7.42578125" bestFit="1" customWidth="1"/>
    <col min="15068" max="15068" width="8.140625" bestFit="1" customWidth="1"/>
    <col min="15069" max="15069" width="4.5703125" bestFit="1" customWidth="1"/>
    <col min="15070" max="15070" width="57.5703125" customWidth="1"/>
    <col min="15071" max="15071" width="14.28515625" customWidth="1"/>
    <col min="15072" max="15072" width="0.85546875" customWidth="1"/>
    <col min="15073" max="15073" width="16.5703125" bestFit="1" customWidth="1"/>
    <col min="15074" max="15074" width="13.42578125" bestFit="1" customWidth="1"/>
    <col min="15321" max="15321" width="4.85546875" bestFit="1" customWidth="1"/>
    <col min="15322" max="15322" width="5.85546875" bestFit="1" customWidth="1"/>
    <col min="15323" max="15323" width="7.42578125" bestFit="1" customWidth="1"/>
    <col min="15324" max="15324" width="8.140625" bestFit="1" customWidth="1"/>
    <col min="15325" max="15325" width="4.5703125" bestFit="1" customWidth="1"/>
    <col min="15326" max="15326" width="57.5703125" customWidth="1"/>
    <col min="15327" max="15327" width="14.28515625" customWidth="1"/>
    <col min="15328" max="15328" width="0.85546875" customWidth="1"/>
    <col min="15329" max="15329" width="16.5703125" bestFit="1" customWidth="1"/>
    <col min="15330" max="15330" width="13.42578125" bestFit="1" customWidth="1"/>
    <col min="15577" max="15577" width="4.85546875" bestFit="1" customWidth="1"/>
    <col min="15578" max="15578" width="5.85546875" bestFit="1" customWidth="1"/>
    <col min="15579" max="15579" width="7.42578125" bestFit="1" customWidth="1"/>
    <col min="15580" max="15580" width="8.140625" bestFit="1" customWidth="1"/>
    <col min="15581" max="15581" width="4.5703125" bestFit="1" customWidth="1"/>
    <col min="15582" max="15582" width="57.5703125" customWidth="1"/>
    <col min="15583" max="15583" width="14.28515625" customWidth="1"/>
    <col min="15584" max="15584" width="0.85546875" customWidth="1"/>
    <col min="15585" max="15585" width="16.5703125" bestFit="1" customWidth="1"/>
    <col min="15586" max="15586" width="13.42578125" bestFit="1" customWidth="1"/>
    <col min="15833" max="15833" width="4.85546875" bestFit="1" customWidth="1"/>
    <col min="15834" max="15834" width="5.85546875" bestFit="1" customWidth="1"/>
    <col min="15835" max="15835" width="7.42578125" bestFit="1" customWidth="1"/>
    <col min="15836" max="15836" width="8.140625" bestFit="1" customWidth="1"/>
    <col min="15837" max="15837" width="4.5703125" bestFit="1" customWidth="1"/>
    <col min="15838" max="15838" width="57.5703125" customWidth="1"/>
    <col min="15839" max="15839" width="14.28515625" customWidth="1"/>
    <col min="15840" max="15840" width="0.85546875" customWidth="1"/>
    <col min="15841" max="15841" width="16.5703125" bestFit="1" customWidth="1"/>
    <col min="15842" max="15842" width="13.42578125" bestFit="1" customWidth="1"/>
    <col min="16089" max="16089" width="4.85546875" bestFit="1" customWidth="1"/>
    <col min="16090" max="16090" width="5.85546875" bestFit="1" customWidth="1"/>
    <col min="16091" max="16091" width="7.42578125" bestFit="1" customWidth="1"/>
    <col min="16092" max="16092" width="8.140625" bestFit="1" customWidth="1"/>
    <col min="16093" max="16093" width="4.5703125" bestFit="1" customWidth="1"/>
    <col min="16094" max="16094" width="57.5703125" customWidth="1"/>
    <col min="16095" max="16095" width="14.28515625" customWidth="1"/>
    <col min="16096" max="16096" width="0.85546875" customWidth="1"/>
    <col min="16097" max="16097" width="16.5703125" bestFit="1" customWidth="1"/>
    <col min="16098" max="16098" width="13.42578125" bestFit="1" customWidth="1"/>
  </cols>
  <sheetData>
    <row r="1" spans="1:16" x14ac:dyDescent="0.25">
      <c r="A1" s="8"/>
      <c r="B1" s="8"/>
      <c r="C1" s="8"/>
      <c r="D1" s="8"/>
      <c r="E1" s="8"/>
      <c r="F1" s="8"/>
      <c r="G1" s="8"/>
      <c r="H1" s="9"/>
    </row>
    <row r="2" spans="1:16" x14ac:dyDescent="0.25">
      <c r="A2" s="8"/>
      <c r="B2" s="8"/>
      <c r="C2" s="8"/>
      <c r="D2" s="8"/>
      <c r="E2" s="8"/>
      <c r="F2" s="8"/>
      <c r="G2" s="8"/>
      <c r="H2" s="9"/>
    </row>
    <row r="3" spans="1:16" ht="20.25" x14ac:dyDescent="0.3">
      <c r="A3" s="128" t="s">
        <v>135</v>
      </c>
      <c r="B3" s="128"/>
      <c r="C3" s="128"/>
      <c r="D3" s="128"/>
      <c r="E3" s="128"/>
      <c r="F3" s="128"/>
      <c r="G3" s="128"/>
      <c r="H3" s="128"/>
    </row>
    <row r="4" spans="1:16" ht="20.25" x14ac:dyDescent="0.3">
      <c r="A4" s="128" t="s">
        <v>140</v>
      </c>
      <c r="B4" s="128"/>
      <c r="C4" s="128"/>
      <c r="D4" s="128"/>
      <c r="E4" s="128"/>
      <c r="F4" s="128"/>
      <c r="G4" s="128"/>
      <c r="H4" s="128"/>
    </row>
    <row r="5" spans="1:16" ht="20.25" x14ac:dyDescent="0.3">
      <c r="A5" s="128" t="s">
        <v>136</v>
      </c>
      <c r="B5" s="128"/>
      <c r="C5" s="128"/>
      <c r="D5" s="128"/>
      <c r="E5" s="128"/>
      <c r="F5" s="128"/>
      <c r="G5" s="128"/>
      <c r="H5" s="128"/>
    </row>
    <row r="6" spans="1:16" ht="18.75" customHeight="1" thickBot="1" x14ac:dyDescent="0.3">
      <c r="A6" s="65"/>
      <c r="B6" s="65"/>
      <c r="C6" s="65"/>
      <c r="D6" s="65"/>
      <c r="E6" s="70"/>
      <c r="F6" s="71"/>
      <c r="G6" s="72"/>
      <c r="H6" s="73"/>
    </row>
    <row r="7" spans="1:16" ht="0.75" customHeight="1" thickBot="1" x14ac:dyDescent="0.3">
      <c r="A7" s="129" t="s">
        <v>0</v>
      </c>
      <c r="B7" s="130"/>
      <c r="C7" s="130"/>
      <c r="D7" s="130"/>
      <c r="E7" s="131"/>
      <c r="F7" s="10"/>
      <c r="G7" s="11" t="s">
        <v>1</v>
      </c>
      <c r="H7" s="12" t="s">
        <v>1</v>
      </c>
    </row>
    <row r="8" spans="1:16" ht="31.5" customHeight="1" thickBot="1" x14ac:dyDescent="0.3">
      <c r="A8" s="96"/>
      <c r="B8" s="96"/>
      <c r="C8" s="96"/>
      <c r="D8" s="96"/>
      <c r="E8" s="96"/>
      <c r="F8" s="97"/>
      <c r="G8" s="13" t="s">
        <v>128</v>
      </c>
      <c r="H8" s="14" t="s">
        <v>129</v>
      </c>
      <c r="I8" s="14" t="s">
        <v>131</v>
      </c>
      <c r="J8" s="14" t="s">
        <v>133</v>
      </c>
      <c r="K8" s="14" t="s">
        <v>137</v>
      </c>
      <c r="L8" s="14" t="s">
        <v>138</v>
      </c>
      <c r="M8" s="14" t="s">
        <v>141</v>
      </c>
      <c r="N8" s="14" t="s">
        <v>132</v>
      </c>
      <c r="O8" s="78" t="s">
        <v>2</v>
      </c>
    </row>
    <row r="9" spans="1:16" ht="32.25" thickBot="1" x14ac:dyDescent="0.3">
      <c r="A9" s="15" t="s">
        <v>3</v>
      </c>
      <c r="B9" s="13" t="s">
        <v>130</v>
      </c>
      <c r="C9" s="13" t="s">
        <v>4</v>
      </c>
      <c r="D9" s="13" t="s">
        <v>5</v>
      </c>
      <c r="E9" s="13" t="s">
        <v>6</v>
      </c>
      <c r="F9" s="127" t="s">
        <v>7</v>
      </c>
      <c r="G9" s="16" t="s">
        <v>8</v>
      </c>
      <c r="H9" s="17" t="s">
        <v>8</v>
      </c>
      <c r="I9" s="17" t="s">
        <v>8</v>
      </c>
      <c r="J9" s="17" t="s">
        <v>8</v>
      </c>
      <c r="K9" s="17" t="s">
        <v>8</v>
      </c>
      <c r="L9" s="17" t="s">
        <v>8</v>
      </c>
      <c r="M9" s="17" t="s">
        <v>8</v>
      </c>
      <c r="N9" s="17" t="s">
        <v>8</v>
      </c>
      <c r="O9" s="98" t="s">
        <v>8</v>
      </c>
    </row>
    <row r="10" spans="1:16" ht="15.75" x14ac:dyDescent="0.25">
      <c r="A10" s="18"/>
      <c r="B10" s="19"/>
      <c r="C10" s="18"/>
      <c r="D10" s="20"/>
      <c r="E10" s="21"/>
      <c r="F10" s="99"/>
      <c r="G10" s="22"/>
      <c r="H10" s="23"/>
      <c r="I10" s="23"/>
      <c r="J10" s="23"/>
      <c r="K10" s="23"/>
      <c r="L10" s="23"/>
      <c r="M10" s="23"/>
      <c r="N10" s="23"/>
      <c r="O10" s="1"/>
    </row>
    <row r="11" spans="1:16" ht="32.25" thickBot="1" x14ac:dyDescent="0.3">
      <c r="A11" s="19">
        <v>2</v>
      </c>
      <c r="B11" s="19">
        <v>1</v>
      </c>
      <c r="C11" s="19"/>
      <c r="D11" s="19"/>
      <c r="E11" s="24"/>
      <c r="F11" s="100" t="s">
        <v>9</v>
      </c>
      <c r="G11" s="25">
        <f>G12+G30+G41+G46</f>
        <v>33459772</v>
      </c>
      <c r="H11" s="25">
        <f>H12+H30+H41+H46</f>
        <v>2131632.61</v>
      </c>
      <c r="I11" s="25">
        <f t="shared" ref="I11:O11" si="0">I12+I30+I41+I46</f>
        <v>2133860.3199999998</v>
      </c>
      <c r="J11" s="25">
        <f t="shared" si="0"/>
        <v>2272610.34</v>
      </c>
      <c r="K11" s="25">
        <f t="shared" si="0"/>
        <v>2409214.63</v>
      </c>
      <c r="L11" s="25">
        <f t="shared" si="0"/>
        <v>4434552.26</v>
      </c>
      <c r="M11" s="25">
        <f t="shared" si="0"/>
        <v>2670073.65</v>
      </c>
      <c r="N11" s="25">
        <f t="shared" si="0"/>
        <v>16051943.809999999</v>
      </c>
      <c r="O11" s="101">
        <f t="shared" si="0"/>
        <v>17407828.190000001</v>
      </c>
    </row>
    <row r="12" spans="1:16" ht="16.5" thickBot="1" x14ac:dyDescent="0.3">
      <c r="A12" s="19">
        <v>2</v>
      </c>
      <c r="B12" s="19">
        <v>1</v>
      </c>
      <c r="C12" s="19">
        <v>1</v>
      </c>
      <c r="D12" s="19"/>
      <c r="E12" s="24"/>
      <c r="F12" s="100" t="s">
        <v>10</v>
      </c>
      <c r="G12" s="26">
        <f>G13+G16+G21+G24</f>
        <v>24193156</v>
      </c>
      <c r="H12" s="26">
        <f>H13+H16+H21+H24</f>
        <v>1861012</v>
      </c>
      <c r="I12" s="26">
        <f t="shared" ref="I12:N12" si="1">I13+I16+I21+I24</f>
        <v>1861012</v>
      </c>
      <c r="J12" s="26">
        <f t="shared" si="1"/>
        <v>1861012</v>
      </c>
      <c r="K12" s="26">
        <f t="shared" si="1"/>
        <v>2036012</v>
      </c>
      <c r="L12" s="26">
        <f t="shared" si="1"/>
        <v>2036012</v>
      </c>
      <c r="M12" s="26">
        <f t="shared" si="1"/>
        <v>2036012</v>
      </c>
      <c r="N12" s="26">
        <f t="shared" si="1"/>
        <v>11691072</v>
      </c>
      <c r="O12" s="86">
        <f>O13+O16+O21+O24</f>
        <v>12502084</v>
      </c>
    </row>
    <row r="13" spans="1:16" ht="32.25" thickBot="1" x14ac:dyDescent="0.3">
      <c r="A13" s="19">
        <v>2</v>
      </c>
      <c r="B13" s="19">
        <v>1</v>
      </c>
      <c r="C13" s="19">
        <v>1</v>
      </c>
      <c r="D13" s="19">
        <v>1</v>
      </c>
      <c r="E13" s="24"/>
      <c r="F13" s="100" t="s">
        <v>11</v>
      </c>
      <c r="G13" s="62">
        <f>G14</f>
        <v>22332144</v>
      </c>
      <c r="H13" s="28">
        <f>H14</f>
        <v>1861012</v>
      </c>
      <c r="I13" s="28">
        <f t="shared" ref="I13:O13" si="2">I14</f>
        <v>1861012</v>
      </c>
      <c r="J13" s="28">
        <f t="shared" si="2"/>
        <v>1861012</v>
      </c>
      <c r="K13" s="28">
        <f t="shared" si="2"/>
        <v>2036012</v>
      </c>
      <c r="L13" s="28">
        <f t="shared" si="2"/>
        <v>2036012</v>
      </c>
      <c r="M13" s="28">
        <f t="shared" si="2"/>
        <v>2036012</v>
      </c>
      <c r="N13" s="28">
        <f t="shared" si="2"/>
        <v>11691072</v>
      </c>
      <c r="O13" s="102">
        <f t="shared" si="2"/>
        <v>10641072</v>
      </c>
    </row>
    <row r="14" spans="1:16" ht="15.75" x14ac:dyDescent="0.25">
      <c r="A14" s="19">
        <v>2</v>
      </c>
      <c r="B14" s="19">
        <v>1</v>
      </c>
      <c r="C14" s="19">
        <v>1</v>
      </c>
      <c r="D14" s="19">
        <v>1</v>
      </c>
      <c r="E14" s="19">
        <v>1</v>
      </c>
      <c r="F14" s="76" t="s">
        <v>12</v>
      </c>
      <c r="G14" s="61">
        <f>6300000+16032144</f>
        <v>22332144</v>
      </c>
      <c r="H14" s="30">
        <f>185000+300000+225000+73200+185000+80000+120000+135000+53812+100000+85000+60000+120000+29000+70000+40000</f>
        <v>1861012</v>
      </c>
      <c r="I14" s="30">
        <f>185000+300000+225000+73200+185000+80000+120000+135000+53812+100000+85000+60000+120000+29000+70000+40000</f>
        <v>1861012</v>
      </c>
      <c r="J14" s="30">
        <f>185000+300000+225000+73200+185000+80000+120000+135000+53812+100000+85000+60000+120000+29000+70000+40000</f>
        <v>1861012</v>
      </c>
      <c r="K14" s="30">
        <f>185000+300000+225000+73200+185000+80000+120000+135000+53812+100000+85000+60000+120000+29000+70000+40000+175000</f>
        <v>2036012</v>
      </c>
      <c r="L14" s="30">
        <f>185000+300000+225000+73200+185000+80000+120000+135000+53812+100000+85000+60000+120000+29000+70000+40000+175000</f>
        <v>2036012</v>
      </c>
      <c r="M14" s="30">
        <f>185000+300000+225000+73200+185000+80000+120000+135000+53812+100000+85000+60000+120000+29000+70000+40000+175000</f>
        <v>2036012</v>
      </c>
      <c r="N14" s="30">
        <f>+H14+I14+J14+K14+L14+M14</f>
        <v>11691072</v>
      </c>
      <c r="O14" s="103">
        <f>+G14-N14</f>
        <v>10641072</v>
      </c>
      <c r="P14" s="4"/>
    </row>
    <row r="15" spans="1:16" ht="15.75" x14ac:dyDescent="0.25">
      <c r="A15" s="19"/>
      <c r="B15" s="19"/>
      <c r="C15" s="19"/>
      <c r="D15" s="19"/>
      <c r="E15" s="18"/>
      <c r="F15" s="76"/>
      <c r="G15" s="68"/>
      <c r="H15" s="31"/>
      <c r="I15" s="31"/>
      <c r="J15" s="31"/>
      <c r="K15" s="31"/>
      <c r="L15" s="31"/>
      <c r="M15" s="31"/>
      <c r="N15" s="79"/>
      <c r="O15" s="80"/>
      <c r="P15" s="4"/>
    </row>
    <row r="16" spans="1:16" ht="36" customHeight="1" thickBot="1" x14ac:dyDescent="0.3">
      <c r="A16" s="19">
        <v>2</v>
      </c>
      <c r="B16" s="19">
        <v>1</v>
      </c>
      <c r="C16" s="19">
        <v>1</v>
      </c>
      <c r="D16" s="19">
        <v>2</v>
      </c>
      <c r="E16" s="24"/>
      <c r="F16" s="74" t="s">
        <v>13</v>
      </c>
      <c r="G16" s="58">
        <f>G17</f>
        <v>0</v>
      </c>
      <c r="H16" s="58">
        <f>H17</f>
        <v>0</v>
      </c>
      <c r="I16" s="58">
        <f t="shared" ref="I16:N16" si="3">I17</f>
        <v>0</v>
      </c>
      <c r="J16" s="58">
        <f t="shared" si="3"/>
        <v>0</v>
      </c>
      <c r="K16" s="58">
        <f t="shared" si="3"/>
        <v>0</v>
      </c>
      <c r="L16" s="58">
        <f t="shared" si="3"/>
        <v>0</v>
      </c>
      <c r="M16" s="58">
        <f t="shared" si="3"/>
        <v>0</v>
      </c>
      <c r="N16" s="58">
        <f t="shared" si="3"/>
        <v>0</v>
      </c>
      <c r="O16" s="101">
        <f t="shared" ref="O16" si="4">O17+O18+O19</f>
        <v>0</v>
      </c>
      <c r="P16" s="4"/>
    </row>
    <row r="17" spans="1:16" ht="31.5" x14ac:dyDescent="0.25">
      <c r="A17" s="19">
        <v>2</v>
      </c>
      <c r="B17" s="19">
        <v>1</v>
      </c>
      <c r="C17" s="19">
        <v>1</v>
      </c>
      <c r="D17" s="19">
        <v>2</v>
      </c>
      <c r="E17" s="19">
        <v>1</v>
      </c>
      <c r="F17" s="75" t="s">
        <v>14</v>
      </c>
      <c r="G17" s="69"/>
      <c r="H17" s="31"/>
      <c r="I17" s="31"/>
      <c r="J17" s="31"/>
      <c r="K17" s="31"/>
      <c r="L17" s="31"/>
      <c r="M17" s="31"/>
      <c r="N17" s="79">
        <f>+H17+I17+J17+K17+L17+M17</f>
        <v>0</v>
      </c>
      <c r="O17" s="80">
        <f>+G17-N17</f>
        <v>0</v>
      </c>
      <c r="P17" s="4"/>
    </row>
    <row r="18" spans="1:16" ht="31.5" x14ac:dyDescent="0.25">
      <c r="A18" s="19">
        <v>2</v>
      </c>
      <c r="B18" s="19">
        <v>1</v>
      </c>
      <c r="C18" s="19">
        <v>1</v>
      </c>
      <c r="D18" s="19">
        <v>2</v>
      </c>
      <c r="E18" s="19">
        <v>2</v>
      </c>
      <c r="F18" s="75" t="s">
        <v>15</v>
      </c>
      <c r="G18" s="68"/>
      <c r="H18" s="31"/>
      <c r="I18" s="31"/>
      <c r="J18" s="31"/>
      <c r="K18" s="31"/>
      <c r="L18" s="31"/>
      <c r="M18" s="31"/>
      <c r="N18" s="79">
        <f>+H18+I18+J18+K18+L18+M18</f>
        <v>0</v>
      </c>
      <c r="O18" s="80"/>
      <c r="P18" s="4"/>
    </row>
    <row r="19" spans="1:16" ht="31.5" x14ac:dyDescent="0.25">
      <c r="A19" s="19">
        <v>2</v>
      </c>
      <c r="B19" s="19">
        <v>1</v>
      </c>
      <c r="C19" s="19">
        <v>1</v>
      </c>
      <c r="D19" s="19">
        <v>2</v>
      </c>
      <c r="E19" s="19">
        <v>5</v>
      </c>
      <c r="F19" s="75" t="s">
        <v>16</v>
      </c>
      <c r="G19" s="46"/>
      <c r="H19" s="36"/>
      <c r="I19" s="36"/>
      <c r="J19" s="36"/>
      <c r="K19" s="36"/>
      <c r="L19" s="36"/>
      <c r="M19" s="36"/>
      <c r="N19" s="79">
        <f>+H19+I19+J19+K19+L19+M19</f>
        <v>0</v>
      </c>
      <c r="O19" s="81">
        <f>-G19-N19</f>
        <v>0</v>
      </c>
      <c r="P19" s="4"/>
    </row>
    <row r="20" spans="1:16" ht="15.75" x14ac:dyDescent="0.25">
      <c r="A20" s="19"/>
      <c r="B20" s="19"/>
      <c r="C20" s="19"/>
      <c r="D20" s="19"/>
      <c r="E20" s="19"/>
      <c r="F20" s="75"/>
      <c r="G20" s="46"/>
      <c r="H20" s="36" t="s">
        <v>17</v>
      </c>
      <c r="I20" s="36" t="s">
        <v>17</v>
      </c>
      <c r="J20" s="36"/>
      <c r="K20" s="36"/>
      <c r="L20" s="36"/>
      <c r="M20" s="36"/>
      <c r="N20" s="79"/>
      <c r="O20" s="82"/>
      <c r="P20" s="4"/>
    </row>
    <row r="21" spans="1:16" ht="16.5" thickBot="1" x14ac:dyDescent="0.3">
      <c r="A21" s="19">
        <v>2</v>
      </c>
      <c r="B21" s="19">
        <v>1</v>
      </c>
      <c r="C21" s="19">
        <v>1</v>
      </c>
      <c r="D21" s="19">
        <v>4</v>
      </c>
      <c r="E21" s="24"/>
      <c r="F21" s="74" t="s">
        <v>18</v>
      </c>
      <c r="G21" s="58">
        <f>G22</f>
        <v>1861012</v>
      </c>
      <c r="H21" s="58">
        <f>H22</f>
        <v>0</v>
      </c>
      <c r="I21" s="58">
        <f t="shared" ref="I21:O21" si="5">I22</f>
        <v>0</v>
      </c>
      <c r="J21" s="58">
        <f t="shared" si="5"/>
        <v>0</v>
      </c>
      <c r="K21" s="58">
        <f t="shared" si="5"/>
        <v>0</v>
      </c>
      <c r="L21" s="58">
        <f t="shared" si="5"/>
        <v>0</v>
      </c>
      <c r="M21" s="58">
        <f t="shared" si="5"/>
        <v>0</v>
      </c>
      <c r="N21" s="58">
        <f t="shared" si="5"/>
        <v>0</v>
      </c>
      <c r="O21" s="101">
        <f t="shared" si="5"/>
        <v>1861012</v>
      </c>
      <c r="P21" s="4"/>
    </row>
    <row r="22" spans="1:16" ht="15.75" x14ac:dyDescent="0.25">
      <c r="A22" s="19">
        <v>2</v>
      </c>
      <c r="B22" s="19">
        <v>1</v>
      </c>
      <c r="C22" s="19">
        <v>1</v>
      </c>
      <c r="D22" s="19">
        <v>4</v>
      </c>
      <c r="E22" s="19">
        <v>1</v>
      </c>
      <c r="F22" s="75" t="s">
        <v>19</v>
      </c>
      <c r="G22" s="69">
        <v>1861012</v>
      </c>
      <c r="H22" s="35">
        <v>0</v>
      </c>
      <c r="I22" s="35">
        <v>0</v>
      </c>
      <c r="J22" s="35"/>
      <c r="K22" s="35"/>
      <c r="L22" s="35"/>
      <c r="M22" s="35"/>
      <c r="N22" s="83">
        <f>+H22+I22+J22+K22+L22+M22</f>
        <v>0</v>
      </c>
      <c r="O22" s="84">
        <f>+G22-N22</f>
        <v>1861012</v>
      </c>
      <c r="P22" s="4"/>
    </row>
    <row r="23" spans="1:16" ht="15.75" x14ac:dyDescent="0.25">
      <c r="A23" s="19"/>
      <c r="B23" s="19"/>
      <c r="C23" s="19"/>
      <c r="D23" s="19"/>
      <c r="E23" s="19"/>
      <c r="F23" s="75"/>
      <c r="G23" s="46"/>
      <c r="H23" s="36"/>
      <c r="I23" s="36"/>
      <c r="J23" s="36"/>
      <c r="K23" s="36"/>
      <c r="L23" s="36"/>
      <c r="M23" s="36"/>
      <c r="N23" s="85"/>
      <c r="O23" s="82"/>
      <c r="P23" s="4"/>
    </row>
    <row r="24" spans="1:16" ht="32.25" thickBot="1" x14ac:dyDescent="0.3">
      <c r="A24" s="19">
        <v>2</v>
      </c>
      <c r="B24" s="19">
        <v>1</v>
      </c>
      <c r="C24" s="19">
        <v>1</v>
      </c>
      <c r="D24" s="19">
        <v>5</v>
      </c>
      <c r="E24" s="24"/>
      <c r="F24" s="74" t="s">
        <v>20</v>
      </c>
      <c r="G24" s="45">
        <f>G25+G28</f>
        <v>0</v>
      </c>
      <c r="H24" s="45">
        <f>H25+H28</f>
        <v>0</v>
      </c>
      <c r="I24" s="45">
        <f t="shared" ref="I24:N24" si="6">I25+I28</f>
        <v>0</v>
      </c>
      <c r="J24" s="45">
        <f t="shared" si="6"/>
        <v>0</v>
      </c>
      <c r="K24" s="45">
        <f t="shared" si="6"/>
        <v>0</v>
      </c>
      <c r="L24" s="45">
        <f t="shared" si="6"/>
        <v>0</v>
      </c>
      <c r="M24" s="45">
        <f t="shared" si="6"/>
        <v>0</v>
      </c>
      <c r="N24" s="45">
        <f t="shared" si="6"/>
        <v>0</v>
      </c>
      <c r="O24" s="104">
        <f t="shared" ref="O24" si="7">O25+O28+O26+O27</f>
        <v>0</v>
      </c>
      <c r="P24" s="4"/>
    </row>
    <row r="25" spans="1:16" ht="15.75" x14ac:dyDescent="0.25">
      <c r="A25" s="19">
        <v>2</v>
      </c>
      <c r="B25" s="19">
        <v>1</v>
      </c>
      <c r="C25" s="19">
        <v>1</v>
      </c>
      <c r="D25" s="19">
        <v>5</v>
      </c>
      <c r="E25" s="19">
        <v>1</v>
      </c>
      <c r="F25" s="75" t="s">
        <v>20</v>
      </c>
      <c r="G25" s="46"/>
      <c r="H25" s="35">
        <v>0</v>
      </c>
      <c r="I25" s="35">
        <v>0</v>
      </c>
      <c r="J25" s="36"/>
      <c r="K25" s="36"/>
      <c r="L25" s="36"/>
      <c r="M25" s="36"/>
      <c r="N25" s="85">
        <f>+H25+I25+J25+K25+L25+M25</f>
        <v>0</v>
      </c>
      <c r="O25" s="81">
        <f>+G25-N25</f>
        <v>0</v>
      </c>
      <c r="P25" s="4"/>
    </row>
    <row r="26" spans="1:16" ht="31.5" x14ac:dyDescent="0.25">
      <c r="A26" s="19">
        <v>2</v>
      </c>
      <c r="B26" s="19">
        <v>1</v>
      </c>
      <c r="C26" s="19">
        <v>1</v>
      </c>
      <c r="D26" s="19">
        <v>5</v>
      </c>
      <c r="E26" s="19">
        <v>2</v>
      </c>
      <c r="F26" s="75" t="s">
        <v>21</v>
      </c>
      <c r="G26" s="46"/>
      <c r="H26" s="36">
        <v>0</v>
      </c>
      <c r="I26" s="36">
        <v>0</v>
      </c>
      <c r="J26" s="36"/>
      <c r="K26" s="36"/>
      <c r="L26" s="36"/>
      <c r="M26" s="36"/>
      <c r="N26" s="85">
        <f>+H26+I26+J26+K26+L26+M26</f>
        <v>0</v>
      </c>
      <c r="O26" s="82">
        <f>-G26-N26</f>
        <v>0</v>
      </c>
      <c r="P26" s="4"/>
    </row>
    <row r="27" spans="1:16" ht="31.5" x14ac:dyDescent="0.25">
      <c r="A27" s="19">
        <v>2</v>
      </c>
      <c r="B27" s="19">
        <v>1</v>
      </c>
      <c r="C27" s="19">
        <v>1</v>
      </c>
      <c r="D27" s="19">
        <v>5</v>
      </c>
      <c r="E27" s="19">
        <v>3</v>
      </c>
      <c r="F27" s="75" t="s">
        <v>22</v>
      </c>
      <c r="G27" s="46"/>
      <c r="H27" s="36"/>
      <c r="I27" s="36"/>
      <c r="J27" s="36"/>
      <c r="K27" s="36"/>
      <c r="L27" s="36"/>
      <c r="M27" s="36"/>
      <c r="N27" s="85">
        <f>+H27+I27+J27+K27+L27+M27</f>
        <v>0</v>
      </c>
      <c r="O27" s="82">
        <f>-G27-N27</f>
        <v>0</v>
      </c>
      <c r="P27" s="4"/>
    </row>
    <row r="28" spans="1:16" ht="31.5" x14ac:dyDescent="0.25">
      <c r="A28" s="19">
        <v>2</v>
      </c>
      <c r="B28" s="19">
        <v>1</v>
      </c>
      <c r="C28" s="19">
        <v>1</v>
      </c>
      <c r="D28" s="19">
        <v>5</v>
      </c>
      <c r="E28" s="19">
        <v>4</v>
      </c>
      <c r="F28" s="75" t="s">
        <v>23</v>
      </c>
      <c r="G28" s="46"/>
      <c r="H28" s="36"/>
      <c r="I28" s="36"/>
      <c r="J28" s="36"/>
      <c r="K28" s="36"/>
      <c r="L28" s="36"/>
      <c r="M28" s="36"/>
      <c r="N28" s="85">
        <f>+H28+I28+J28+K28+L28+M28</f>
        <v>0</v>
      </c>
      <c r="O28" s="82"/>
      <c r="P28" s="4"/>
    </row>
    <row r="29" spans="1:16" ht="15.75" x14ac:dyDescent="0.25">
      <c r="A29" s="19"/>
      <c r="B29" s="19"/>
      <c r="C29" s="19"/>
      <c r="D29" s="19"/>
      <c r="E29" s="19"/>
      <c r="F29" s="75"/>
      <c r="G29" s="46"/>
      <c r="H29" s="36"/>
      <c r="I29" s="36"/>
      <c r="J29" s="36"/>
      <c r="K29" s="36"/>
      <c r="L29" s="36"/>
      <c r="M29" s="36"/>
      <c r="N29" s="85"/>
      <c r="O29" s="82"/>
      <c r="P29" s="4"/>
    </row>
    <row r="30" spans="1:16" ht="16.5" thickBot="1" x14ac:dyDescent="0.3">
      <c r="A30" s="19">
        <v>2</v>
      </c>
      <c r="B30" s="19">
        <v>1</v>
      </c>
      <c r="C30" s="19">
        <v>2</v>
      </c>
      <c r="D30" s="19"/>
      <c r="E30" s="19"/>
      <c r="F30" s="74" t="s">
        <v>24</v>
      </c>
      <c r="G30" s="77">
        <f>G31</f>
        <v>5992436</v>
      </c>
      <c r="H30" s="63">
        <f>H31</f>
        <v>0</v>
      </c>
      <c r="I30" s="63">
        <f t="shared" ref="I30:O30" si="8">I31</f>
        <v>0</v>
      </c>
      <c r="J30" s="63">
        <f t="shared" si="8"/>
        <v>138750</v>
      </c>
      <c r="K30" s="63">
        <f t="shared" si="8"/>
        <v>74500</v>
      </c>
      <c r="L30" s="122">
        <f t="shared" si="8"/>
        <v>2099837.61</v>
      </c>
      <c r="M30" s="122">
        <f t="shared" si="8"/>
        <v>335359</v>
      </c>
      <c r="N30" s="63">
        <f t="shared" si="8"/>
        <v>2648446.61</v>
      </c>
      <c r="O30" s="105">
        <f t="shared" si="8"/>
        <v>3343989.39</v>
      </c>
      <c r="P30" s="4"/>
    </row>
    <row r="31" spans="1:16" ht="16.5" thickBot="1" x14ac:dyDescent="0.3">
      <c r="A31" s="19">
        <v>2</v>
      </c>
      <c r="B31" s="19">
        <v>1</v>
      </c>
      <c r="C31" s="19">
        <v>2</v>
      </c>
      <c r="D31" s="19">
        <v>2</v>
      </c>
      <c r="E31" s="19"/>
      <c r="F31" s="74" t="s">
        <v>25</v>
      </c>
      <c r="G31" s="58">
        <f>+G33+G34+G35+G37</f>
        <v>5992436</v>
      </c>
      <c r="H31" s="25">
        <f>+H33+H34+H35+H37</f>
        <v>0</v>
      </c>
      <c r="I31" s="25">
        <f t="shared" ref="I31" si="9">+I33+I34+I35+I37</f>
        <v>0</v>
      </c>
      <c r="J31" s="25">
        <f>+J33+J34+J35+J37</f>
        <v>138750</v>
      </c>
      <c r="K31" s="123">
        <f>+K33+K34+K35+K37</f>
        <v>74500</v>
      </c>
      <c r="L31" s="38">
        <f>+L33+L34+L35+L37</f>
        <v>2099837.61</v>
      </c>
      <c r="M31" s="38">
        <f>+M33+M34+M35+M37</f>
        <v>335359</v>
      </c>
      <c r="N31" s="101">
        <f>+N33+N34+N35+N37</f>
        <v>2648446.61</v>
      </c>
      <c r="O31" s="101">
        <f t="shared" ref="O31" si="10">+O33+O34+O35+O37</f>
        <v>3343989.39</v>
      </c>
      <c r="P31" s="4"/>
    </row>
    <row r="32" spans="1:16" ht="31.5" x14ac:dyDescent="0.25">
      <c r="A32" s="19">
        <v>2</v>
      </c>
      <c r="B32" s="19">
        <v>1</v>
      </c>
      <c r="C32" s="19">
        <v>2</v>
      </c>
      <c r="D32" s="19">
        <v>2</v>
      </c>
      <c r="E32" s="19">
        <v>2</v>
      </c>
      <c r="F32" s="74" t="s">
        <v>26</v>
      </c>
      <c r="G32" s="60"/>
      <c r="H32" s="26">
        <v>0</v>
      </c>
      <c r="I32" s="26">
        <v>0</v>
      </c>
      <c r="J32" s="26"/>
      <c r="K32" s="124"/>
      <c r="L32" s="26"/>
      <c r="M32" s="86"/>
      <c r="N32" s="125">
        <f>+H32+I32+J32+K32+L32+M32</f>
        <v>0</v>
      </c>
      <c r="O32" s="86">
        <f>+G32-N32</f>
        <v>0</v>
      </c>
      <c r="P32" s="4"/>
    </row>
    <row r="33" spans="1:16" ht="15.75" x14ac:dyDescent="0.25">
      <c r="A33" s="19">
        <v>2</v>
      </c>
      <c r="B33" s="19">
        <v>1</v>
      </c>
      <c r="C33" s="19">
        <v>2</v>
      </c>
      <c r="D33" s="19">
        <v>2</v>
      </c>
      <c r="E33" s="19">
        <v>4</v>
      </c>
      <c r="F33" s="75" t="s">
        <v>27</v>
      </c>
      <c r="G33" s="46">
        <v>0</v>
      </c>
      <c r="H33" s="36">
        <v>0</v>
      </c>
      <c r="I33" s="36">
        <v>0</v>
      </c>
      <c r="J33" s="36"/>
      <c r="K33" s="126"/>
      <c r="L33" s="36"/>
      <c r="M33" s="82"/>
      <c r="N33" s="125">
        <f>+H33+I33+J33+K33+L33+M33</f>
        <v>0</v>
      </c>
      <c r="O33" s="82">
        <f>+G33-N33</f>
        <v>0</v>
      </c>
      <c r="P33" s="4"/>
    </row>
    <row r="34" spans="1:16" ht="31.5" x14ac:dyDescent="0.25">
      <c r="A34" s="19">
        <v>2</v>
      </c>
      <c r="B34" s="19">
        <v>1</v>
      </c>
      <c r="C34" s="19">
        <v>2</v>
      </c>
      <c r="D34" s="19">
        <v>2</v>
      </c>
      <c r="E34" s="19">
        <v>10</v>
      </c>
      <c r="F34" s="75" t="s">
        <v>123</v>
      </c>
      <c r="G34" s="46">
        <v>1362012</v>
      </c>
      <c r="H34" s="36"/>
      <c r="I34" s="36"/>
      <c r="J34" s="36"/>
      <c r="K34" s="126"/>
      <c r="L34" s="36"/>
      <c r="M34" s="82"/>
      <c r="N34" s="125">
        <f>+H34+I34+J34+K34+L34+M34</f>
        <v>0</v>
      </c>
      <c r="O34" s="82">
        <f>+G34-N34</f>
        <v>1362012</v>
      </c>
      <c r="P34" s="4"/>
    </row>
    <row r="35" spans="1:16" ht="31.5" x14ac:dyDescent="0.25">
      <c r="A35" s="19">
        <v>2</v>
      </c>
      <c r="B35" s="19">
        <v>1</v>
      </c>
      <c r="C35" s="19">
        <v>2</v>
      </c>
      <c r="D35" s="19">
        <v>2</v>
      </c>
      <c r="E35" s="19">
        <v>15</v>
      </c>
      <c r="F35" s="75" t="s">
        <v>28</v>
      </c>
      <c r="G35" s="46">
        <v>2847012</v>
      </c>
      <c r="H35" s="36"/>
      <c r="I35" s="36"/>
      <c r="J35" s="36"/>
      <c r="K35" s="126"/>
      <c r="L35" s="26">
        <f>225000+73200+185000+185000+80000+120000+135000+53812+100000+85000+60000+120000+29000+70000+40000+381575.61</f>
        <v>1942587.6099999999</v>
      </c>
      <c r="M35" s="86"/>
      <c r="N35" s="125">
        <f>+H35+I35+J35+K35+L35+M35</f>
        <v>1942587.6099999999</v>
      </c>
      <c r="O35" s="82">
        <f>+G35-N35</f>
        <v>904424.39000000013</v>
      </c>
      <c r="P35" s="4"/>
    </row>
    <row r="36" spans="1:16" ht="16.5" thickBot="1" x14ac:dyDescent="0.3">
      <c r="A36" s="19"/>
      <c r="B36" s="19"/>
      <c r="C36" s="19"/>
      <c r="D36" s="19"/>
      <c r="E36" s="19"/>
      <c r="F36" s="75"/>
      <c r="G36" s="46"/>
      <c r="H36" s="36"/>
      <c r="I36" s="36"/>
      <c r="J36" s="36"/>
      <c r="K36" s="126"/>
      <c r="L36" s="41"/>
      <c r="M36" s="82"/>
      <c r="N36" s="132"/>
      <c r="O36" s="82"/>
      <c r="P36" s="4"/>
    </row>
    <row r="37" spans="1:16" ht="32.25" thickBot="1" x14ac:dyDescent="0.3">
      <c r="A37" s="19">
        <v>2</v>
      </c>
      <c r="B37" s="19">
        <v>1</v>
      </c>
      <c r="C37" s="19">
        <v>3</v>
      </c>
      <c r="D37" s="19">
        <v>7</v>
      </c>
      <c r="E37" s="19"/>
      <c r="F37" s="74" t="s">
        <v>124</v>
      </c>
      <c r="G37" s="59">
        <f>+G38+G39</f>
        <v>1783412</v>
      </c>
      <c r="H37" s="38">
        <f>+H38+H39</f>
        <v>0</v>
      </c>
      <c r="I37" s="38">
        <f t="shared" ref="I37:O37" si="11">+I38+I39</f>
        <v>0</v>
      </c>
      <c r="J37" s="38">
        <f t="shared" si="11"/>
        <v>138750</v>
      </c>
      <c r="K37" s="38">
        <f t="shared" si="11"/>
        <v>74500</v>
      </c>
      <c r="L37" s="38">
        <f>+L38+L39</f>
        <v>157250</v>
      </c>
      <c r="M37" s="38">
        <f t="shared" si="11"/>
        <v>335359</v>
      </c>
      <c r="N37" s="38">
        <f t="shared" si="11"/>
        <v>705859</v>
      </c>
      <c r="O37" s="106">
        <f t="shared" si="11"/>
        <v>1077553</v>
      </c>
      <c r="P37" s="4"/>
    </row>
    <row r="38" spans="1:16" ht="15.75" x14ac:dyDescent="0.25">
      <c r="A38" s="19">
        <v>2</v>
      </c>
      <c r="B38" s="19">
        <v>1</v>
      </c>
      <c r="C38" s="19">
        <v>3</v>
      </c>
      <c r="D38" s="19">
        <v>7</v>
      </c>
      <c r="E38" s="19">
        <v>2</v>
      </c>
      <c r="F38" s="75" t="s">
        <v>125</v>
      </c>
      <c r="G38" s="46">
        <v>190000</v>
      </c>
      <c r="H38" s="36"/>
      <c r="I38" s="36"/>
      <c r="J38" s="36"/>
      <c r="K38" s="36"/>
      <c r="L38" s="36"/>
      <c r="M38" s="36"/>
      <c r="N38" s="85">
        <f>+H38+I38+J38+K38+L38+M38</f>
        <v>0</v>
      </c>
      <c r="O38" s="82">
        <f>+G38-N38</f>
        <v>190000</v>
      </c>
      <c r="P38" s="4"/>
    </row>
    <row r="39" spans="1:16" ht="15.75" x14ac:dyDescent="0.25">
      <c r="A39" s="19">
        <v>2</v>
      </c>
      <c r="B39" s="19">
        <v>1</v>
      </c>
      <c r="C39" s="19">
        <v>3</v>
      </c>
      <c r="D39" s="19">
        <v>7</v>
      </c>
      <c r="E39" s="19">
        <v>4</v>
      </c>
      <c r="F39" s="75" t="s">
        <v>126</v>
      </c>
      <c r="G39" s="46">
        <v>1593412</v>
      </c>
      <c r="H39" s="36"/>
      <c r="I39" s="36"/>
      <c r="J39" s="36">
        <f>63750+75000</f>
        <v>138750</v>
      </c>
      <c r="K39" s="36">
        <f>60000+14500</f>
        <v>74500</v>
      </c>
      <c r="L39" s="36">
        <v>157250</v>
      </c>
      <c r="M39" s="36">
        <v>335359</v>
      </c>
      <c r="N39" s="85">
        <f>+H39+I39+J39+K39+L39+M39</f>
        <v>705859</v>
      </c>
      <c r="O39" s="82">
        <f>+G39-N39</f>
        <v>887553</v>
      </c>
      <c r="P39" s="4"/>
    </row>
    <row r="40" spans="1:16" ht="15.75" x14ac:dyDescent="0.25">
      <c r="A40" s="19"/>
      <c r="B40" s="19"/>
      <c r="C40" s="19"/>
      <c r="D40" s="19"/>
      <c r="E40" s="19"/>
      <c r="F40" s="75"/>
      <c r="G40" s="46"/>
      <c r="H40" s="36"/>
      <c r="I40" s="36"/>
      <c r="J40" s="36"/>
      <c r="K40" s="36"/>
      <c r="L40" s="36"/>
      <c r="M40" s="36"/>
      <c r="N40" s="85">
        <f>+H40+I40+J40+K40+L40</f>
        <v>0</v>
      </c>
      <c r="O40" s="82"/>
      <c r="P40" s="4"/>
    </row>
    <row r="41" spans="1:16" s="2" customFormat="1" ht="32.25" thickBot="1" x14ac:dyDescent="0.3">
      <c r="A41" s="19">
        <v>2</v>
      </c>
      <c r="B41" s="19">
        <v>1</v>
      </c>
      <c r="C41" s="19">
        <v>3</v>
      </c>
      <c r="D41" s="19"/>
      <c r="E41" s="19"/>
      <c r="F41" s="74" t="s">
        <v>29</v>
      </c>
      <c r="G41" s="46"/>
      <c r="H41" s="36"/>
      <c r="I41" s="36"/>
      <c r="J41" s="36"/>
      <c r="K41" s="36"/>
      <c r="L41" s="36"/>
      <c r="M41" s="36"/>
      <c r="N41" s="85"/>
      <c r="O41" s="86">
        <f>SUM(O42:O44)</f>
        <v>0</v>
      </c>
      <c r="P41" s="87"/>
    </row>
    <row r="42" spans="1:16" ht="16.5" thickBot="1" x14ac:dyDescent="0.3">
      <c r="A42" s="19">
        <v>2</v>
      </c>
      <c r="B42" s="19">
        <v>1</v>
      </c>
      <c r="C42" s="19">
        <v>3</v>
      </c>
      <c r="D42" s="19">
        <v>1</v>
      </c>
      <c r="E42" s="24"/>
      <c r="F42" s="74" t="s">
        <v>30</v>
      </c>
      <c r="G42" s="62">
        <f>G43+G44</f>
        <v>0</v>
      </c>
      <c r="H42" s="28">
        <f>H43+H44</f>
        <v>0</v>
      </c>
      <c r="I42" s="28">
        <f t="shared" ref="I42:O42" si="12">I43+I44</f>
        <v>0</v>
      </c>
      <c r="J42" s="28">
        <f t="shared" si="12"/>
        <v>0</v>
      </c>
      <c r="K42" s="28">
        <f t="shared" si="12"/>
        <v>0</v>
      </c>
      <c r="L42" s="28">
        <f t="shared" si="12"/>
        <v>0</v>
      </c>
      <c r="M42" s="28">
        <f t="shared" si="12"/>
        <v>0</v>
      </c>
      <c r="N42" s="28">
        <f t="shared" si="12"/>
        <v>0</v>
      </c>
      <c r="O42" s="102">
        <f t="shared" si="12"/>
        <v>0</v>
      </c>
      <c r="P42" s="4"/>
    </row>
    <row r="43" spans="1:16" ht="15.75" x14ac:dyDescent="0.25">
      <c r="A43" s="19">
        <v>2</v>
      </c>
      <c r="B43" s="19">
        <v>1</v>
      </c>
      <c r="C43" s="19">
        <v>3</v>
      </c>
      <c r="D43" s="19">
        <v>1</v>
      </c>
      <c r="E43" s="19">
        <v>1</v>
      </c>
      <c r="F43" s="75" t="s">
        <v>31</v>
      </c>
      <c r="G43" s="69"/>
      <c r="H43" s="36">
        <f>G43*12</f>
        <v>0</v>
      </c>
      <c r="I43" s="36">
        <f t="shared" ref="I43:J44" si="13">H43*12</f>
        <v>0</v>
      </c>
      <c r="J43" s="36">
        <f t="shared" si="13"/>
        <v>0</v>
      </c>
      <c r="K43" s="36">
        <f>J43*12</f>
        <v>0</v>
      </c>
      <c r="L43" s="36">
        <f>K43*12</f>
        <v>0</v>
      </c>
      <c r="M43" s="36"/>
      <c r="N43" s="85">
        <f>+H43+I43+J43+K43+L43+M43</f>
        <v>0</v>
      </c>
      <c r="O43" s="82">
        <f>+G43-N43</f>
        <v>0</v>
      </c>
      <c r="P43" s="4"/>
    </row>
    <row r="44" spans="1:16" ht="15.75" x14ac:dyDescent="0.25">
      <c r="A44" s="19">
        <v>2</v>
      </c>
      <c r="B44" s="19">
        <v>1</v>
      </c>
      <c r="C44" s="19">
        <v>3</v>
      </c>
      <c r="D44" s="19">
        <v>1</v>
      </c>
      <c r="E44" s="19">
        <v>2</v>
      </c>
      <c r="F44" s="75" t="s">
        <v>32</v>
      </c>
      <c r="G44" s="46"/>
      <c r="H44" s="36">
        <f>G44*12</f>
        <v>0</v>
      </c>
      <c r="I44" s="36">
        <f t="shared" si="13"/>
        <v>0</v>
      </c>
      <c r="J44" s="36">
        <f t="shared" si="13"/>
        <v>0</v>
      </c>
      <c r="K44" s="36">
        <f>J44*12</f>
        <v>0</v>
      </c>
      <c r="L44" s="36">
        <f>K44*12</f>
        <v>0</v>
      </c>
      <c r="M44" s="36"/>
      <c r="N44" s="85">
        <f>+H44+I44+J44+K44+L44+M44</f>
        <v>0</v>
      </c>
      <c r="O44" s="82">
        <f>+G44-N44</f>
        <v>0</v>
      </c>
      <c r="P44" s="4"/>
    </row>
    <row r="45" spans="1:16" ht="15.75" x14ac:dyDescent="0.25">
      <c r="A45" s="19"/>
      <c r="B45" s="19"/>
      <c r="C45" s="19"/>
      <c r="D45" s="19"/>
      <c r="E45" s="19"/>
      <c r="F45" s="75"/>
      <c r="G45" s="46"/>
      <c r="H45" s="36"/>
      <c r="I45" s="36"/>
      <c r="J45" s="36"/>
      <c r="K45" s="36"/>
      <c r="L45" s="36"/>
      <c r="M45" s="36"/>
      <c r="N45" s="85"/>
      <c r="O45" s="82"/>
      <c r="P45" s="4"/>
    </row>
    <row r="46" spans="1:16" ht="48" thickBot="1" x14ac:dyDescent="0.3">
      <c r="A46" s="19">
        <v>2</v>
      </c>
      <c r="B46" s="40">
        <v>1</v>
      </c>
      <c r="C46" s="40">
        <v>5</v>
      </c>
      <c r="D46" s="24"/>
      <c r="E46" s="24"/>
      <c r="F46" s="74" t="s">
        <v>33</v>
      </c>
      <c r="G46" s="58">
        <f>SUM(G47:G49)</f>
        <v>3274180</v>
      </c>
      <c r="H46" s="26">
        <f>SUM(H47:H49)</f>
        <v>270620.61000000004</v>
      </c>
      <c r="I46" s="26">
        <f t="shared" ref="I46:O46" si="14">SUM(I47:I49)</f>
        <v>272848.32</v>
      </c>
      <c r="J46" s="26">
        <f t="shared" si="14"/>
        <v>272848.34000000003</v>
      </c>
      <c r="K46" s="26">
        <f t="shared" si="14"/>
        <v>298702.62999999995</v>
      </c>
      <c r="L46" s="26">
        <f t="shared" si="14"/>
        <v>298702.64999999997</v>
      </c>
      <c r="M46" s="26">
        <f t="shared" si="14"/>
        <v>298702.64999999997</v>
      </c>
      <c r="N46" s="26">
        <f t="shared" si="14"/>
        <v>1712425.2</v>
      </c>
      <c r="O46" s="86">
        <f t="shared" si="14"/>
        <v>1561754.8</v>
      </c>
      <c r="P46" s="4"/>
    </row>
    <row r="47" spans="1:16" ht="31.5" x14ac:dyDescent="0.25">
      <c r="A47" s="19">
        <v>2</v>
      </c>
      <c r="B47" s="19">
        <v>1</v>
      </c>
      <c r="C47" s="19">
        <v>5</v>
      </c>
      <c r="D47" s="19">
        <v>1</v>
      </c>
      <c r="E47" s="19"/>
      <c r="F47" s="76" t="s">
        <v>34</v>
      </c>
      <c r="G47" s="69">
        <v>1525690</v>
      </c>
      <c r="H47" s="35">
        <v>125458.11</v>
      </c>
      <c r="I47" s="35">
        <v>127140.86</v>
      </c>
      <c r="J47" s="35">
        <v>127140.86</v>
      </c>
      <c r="K47" s="35">
        <v>139548.35999999999</v>
      </c>
      <c r="L47" s="35">
        <v>139548.35999999999</v>
      </c>
      <c r="M47" s="35">
        <v>139548.35999999999</v>
      </c>
      <c r="N47" s="83">
        <f>+H47+I47+J47+K47+L47+M47</f>
        <v>798384.91</v>
      </c>
      <c r="O47" s="84">
        <f>+G47-N47</f>
        <v>727305.09</v>
      </c>
      <c r="P47" s="4"/>
    </row>
    <row r="48" spans="1:16" ht="31.5" x14ac:dyDescent="0.25">
      <c r="A48" s="19">
        <v>2</v>
      </c>
      <c r="B48" s="19">
        <v>1</v>
      </c>
      <c r="C48" s="19">
        <v>5</v>
      </c>
      <c r="D48" s="19">
        <v>2</v>
      </c>
      <c r="E48" s="19"/>
      <c r="F48" s="76" t="s">
        <v>35</v>
      </c>
      <c r="G48" s="46">
        <v>1585582</v>
      </c>
      <c r="H48" s="36">
        <v>132131.85</v>
      </c>
      <c r="I48" s="36">
        <v>132131.85</v>
      </c>
      <c r="J48" s="36">
        <v>132131.85</v>
      </c>
      <c r="K48" s="36">
        <v>144556.85</v>
      </c>
      <c r="L48" s="36">
        <v>144556.85</v>
      </c>
      <c r="M48" s="36">
        <v>144556.85</v>
      </c>
      <c r="N48" s="85">
        <f>+H48+I48+J48+K48+L48+M48</f>
        <v>830066.1</v>
      </c>
      <c r="O48" s="81">
        <f>+G48-N48</f>
        <v>755515.9</v>
      </c>
      <c r="P48" s="4"/>
    </row>
    <row r="49" spans="1:16" ht="31.5" x14ac:dyDescent="0.25">
      <c r="A49" s="19">
        <v>2</v>
      </c>
      <c r="B49" s="19">
        <v>1</v>
      </c>
      <c r="C49" s="19">
        <v>5</v>
      </c>
      <c r="D49" s="19">
        <v>3</v>
      </c>
      <c r="E49" s="19"/>
      <c r="F49" s="75" t="s">
        <v>36</v>
      </c>
      <c r="G49" s="46">
        <v>162908</v>
      </c>
      <c r="H49" s="36">
        <v>13030.65</v>
      </c>
      <c r="I49" s="36">
        <v>13575.61</v>
      </c>
      <c r="J49" s="36">
        <v>13575.63</v>
      </c>
      <c r="K49" s="36">
        <v>14597.42</v>
      </c>
      <c r="L49" s="36">
        <v>14597.44</v>
      </c>
      <c r="M49" s="36">
        <v>14597.44</v>
      </c>
      <c r="N49" s="85">
        <f>+H49+I49+J49+K49+L49+M49</f>
        <v>83974.19</v>
      </c>
      <c r="O49" s="81">
        <f>+G49-N49</f>
        <v>78933.81</v>
      </c>
      <c r="P49" s="4"/>
    </row>
    <row r="50" spans="1:16" ht="15.75" x14ac:dyDescent="0.25">
      <c r="A50" s="19"/>
      <c r="B50" s="19"/>
      <c r="C50" s="19"/>
      <c r="D50" s="19"/>
      <c r="E50" s="19"/>
      <c r="F50" s="75"/>
      <c r="G50" s="46"/>
      <c r="H50" s="36"/>
      <c r="I50" s="36"/>
      <c r="J50" s="36"/>
      <c r="K50" s="36"/>
      <c r="L50" s="36"/>
      <c r="M50" s="36"/>
      <c r="N50" s="85"/>
      <c r="O50" s="82"/>
      <c r="P50" s="4"/>
    </row>
    <row r="51" spans="1:16" ht="32.25" thickBot="1" x14ac:dyDescent="0.3">
      <c r="A51" s="19">
        <v>2</v>
      </c>
      <c r="B51" s="19">
        <v>2</v>
      </c>
      <c r="C51" s="19"/>
      <c r="D51" s="19"/>
      <c r="E51" s="24"/>
      <c r="F51" s="100" t="s">
        <v>37</v>
      </c>
      <c r="G51" s="58">
        <f>G52+G60+G64+G68+G72+G84+G92+G80+G109</f>
        <v>54583728</v>
      </c>
      <c r="H51" s="32">
        <f>H52+H60+H64+H68+H72+H84+H92+H80+H109</f>
        <v>2296809.06</v>
      </c>
      <c r="I51" s="32">
        <f t="shared" ref="I51:O51" si="15">I52+I60+I64+I68+I72+I84+I92+I80+I109</f>
        <v>3608786.8299999996</v>
      </c>
      <c r="J51" s="32">
        <f t="shared" si="15"/>
        <v>2348049.6800000002</v>
      </c>
      <c r="K51" s="32">
        <f t="shared" si="15"/>
        <v>4196437.34</v>
      </c>
      <c r="L51" s="32">
        <f t="shared" si="15"/>
        <v>2318687.88</v>
      </c>
      <c r="M51" s="32">
        <f t="shared" si="15"/>
        <v>2415547.09</v>
      </c>
      <c r="N51" s="32">
        <f t="shared" si="15"/>
        <v>17184317.879999999</v>
      </c>
      <c r="O51" s="89">
        <f t="shared" si="15"/>
        <v>37399410.120000005</v>
      </c>
      <c r="P51" s="4"/>
    </row>
    <row r="52" spans="1:16" ht="16.5" thickBot="1" x14ac:dyDescent="0.3">
      <c r="A52" s="19">
        <v>2</v>
      </c>
      <c r="B52" s="19">
        <v>2</v>
      </c>
      <c r="C52" s="19">
        <v>1</v>
      </c>
      <c r="D52" s="19"/>
      <c r="E52" s="24"/>
      <c r="F52" s="100" t="s">
        <v>38</v>
      </c>
      <c r="G52" s="59">
        <f>G53+G54+G55+G57</f>
        <v>4004099</v>
      </c>
      <c r="H52" s="26">
        <f>H53+H54+H55+H57</f>
        <v>149842.91999999998</v>
      </c>
      <c r="I52" s="26">
        <f t="shared" ref="I52:M52" si="16">I53+I54+I55+I57</f>
        <v>152663.82</v>
      </c>
      <c r="J52" s="26">
        <f t="shared" si="16"/>
        <v>152411.78</v>
      </c>
      <c r="K52" s="26">
        <f t="shared" si="16"/>
        <v>158603.18</v>
      </c>
      <c r="L52" s="26">
        <f t="shared" si="16"/>
        <v>158667.4</v>
      </c>
      <c r="M52" s="26">
        <f t="shared" si="16"/>
        <v>161293.88</v>
      </c>
      <c r="N52" s="26">
        <f>N53+N54+N55+N57</f>
        <v>933482.98</v>
      </c>
      <c r="O52" s="86">
        <f t="shared" ref="O52" si="17">O53+O54+O55+O57</f>
        <v>3070616.02</v>
      </c>
      <c r="P52" s="4"/>
    </row>
    <row r="53" spans="1:16" ht="15.75" x14ac:dyDescent="0.25">
      <c r="A53" s="19">
        <v>2</v>
      </c>
      <c r="B53" s="19">
        <v>2</v>
      </c>
      <c r="C53" s="19">
        <v>1</v>
      </c>
      <c r="D53" s="19">
        <v>3</v>
      </c>
      <c r="E53" s="19"/>
      <c r="F53" s="76" t="s">
        <v>39</v>
      </c>
      <c r="G53" s="69">
        <v>420000</v>
      </c>
      <c r="H53" s="35">
        <f>37681.08+22223.64</f>
        <v>59904.72</v>
      </c>
      <c r="I53" s="35">
        <f>37862.5+22342.8</f>
        <v>60205.3</v>
      </c>
      <c r="J53" s="35">
        <f>22424.5+37862.5</f>
        <v>60287</v>
      </c>
      <c r="K53" s="35">
        <f>37862.5+22328.96</f>
        <v>60191.46</v>
      </c>
      <c r="L53" s="35">
        <f>37862.5+22470.85</f>
        <v>60333.35</v>
      </c>
      <c r="M53" s="35">
        <f>37862.5+22339.61</f>
        <v>60202.11</v>
      </c>
      <c r="N53" s="83">
        <f>+H53+I53+J53+K53+L53+M53</f>
        <v>361123.94</v>
      </c>
      <c r="O53" s="84">
        <f>+G53-N53</f>
        <v>58876.06</v>
      </c>
      <c r="P53" s="4"/>
    </row>
    <row r="54" spans="1:16" ht="15.75" x14ac:dyDescent="0.25">
      <c r="A54" s="19">
        <v>2</v>
      </c>
      <c r="B54" s="19">
        <v>2</v>
      </c>
      <c r="C54" s="19">
        <v>1</v>
      </c>
      <c r="D54" s="19">
        <v>4</v>
      </c>
      <c r="E54" s="19"/>
      <c r="F54" s="76" t="s">
        <v>40</v>
      </c>
      <c r="G54" s="46">
        <v>288000</v>
      </c>
      <c r="H54" s="36"/>
      <c r="I54" s="36"/>
      <c r="J54" s="36"/>
      <c r="K54" s="36"/>
      <c r="L54" s="36"/>
      <c r="M54" s="36"/>
      <c r="N54" s="85">
        <f>+H54+I54+J54+K54+L54+M54</f>
        <v>0</v>
      </c>
      <c r="O54" s="82">
        <f>+G54-N54</f>
        <v>288000</v>
      </c>
      <c r="P54" s="4"/>
    </row>
    <row r="55" spans="1:16" ht="31.5" x14ac:dyDescent="0.25">
      <c r="A55" s="19">
        <v>2</v>
      </c>
      <c r="B55" s="19">
        <v>2</v>
      </c>
      <c r="C55" s="19">
        <v>1</v>
      </c>
      <c r="D55" s="19">
        <v>5</v>
      </c>
      <c r="E55" s="19"/>
      <c r="F55" s="76" t="s">
        <v>41</v>
      </c>
      <c r="G55" s="46">
        <v>2336099</v>
      </c>
      <c r="H55" s="36">
        <f>22765.76+8008.44</f>
        <v>30774.199999999997</v>
      </c>
      <c r="I55" s="36">
        <f>8047+22803.1</f>
        <v>30850.1</v>
      </c>
      <c r="J55" s="36">
        <f>8047+22803.1</f>
        <v>30850.1</v>
      </c>
      <c r="K55" s="36">
        <f>22803.1+8047</f>
        <v>30850.1</v>
      </c>
      <c r="L55" s="36">
        <f>22803.1+8047</f>
        <v>30850.1</v>
      </c>
      <c r="M55" s="36">
        <f>8047+22803.1</f>
        <v>30850.1</v>
      </c>
      <c r="N55" s="85">
        <f>+H55+I55+J55+K55+L55+M55</f>
        <v>185024.7</v>
      </c>
      <c r="O55" s="82">
        <f>+G55-N55</f>
        <v>2151074.2999999998</v>
      </c>
      <c r="P55" s="4"/>
    </row>
    <row r="56" spans="1:16" ht="15.75" x14ac:dyDescent="0.25">
      <c r="A56" s="19"/>
      <c r="B56" s="19"/>
      <c r="C56" s="19"/>
      <c r="D56" s="19"/>
      <c r="E56" s="19"/>
      <c r="F56" s="76"/>
      <c r="G56" s="46"/>
      <c r="H56" s="36"/>
      <c r="I56" s="36"/>
      <c r="J56" s="36"/>
      <c r="K56" s="36"/>
      <c r="L56" s="36"/>
      <c r="M56" s="36"/>
      <c r="N56" s="85"/>
      <c r="O56" s="82"/>
      <c r="P56" s="4"/>
    </row>
    <row r="57" spans="1:16" ht="16.5" thickBot="1" x14ac:dyDescent="0.3">
      <c r="A57" s="19">
        <v>2</v>
      </c>
      <c r="B57" s="19">
        <v>2</v>
      </c>
      <c r="C57" s="19">
        <v>1</v>
      </c>
      <c r="D57" s="19">
        <v>6</v>
      </c>
      <c r="E57" s="19"/>
      <c r="F57" s="74" t="s">
        <v>42</v>
      </c>
      <c r="G57" s="58">
        <f>G58</f>
        <v>960000</v>
      </c>
      <c r="H57" s="41">
        <f>H58</f>
        <v>59164</v>
      </c>
      <c r="I57" s="41">
        <f t="shared" ref="I57:N57" si="18">I58</f>
        <v>61608.42</v>
      </c>
      <c r="J57" s="41">
        <f t="shared" si="18"/>
        <v>61274.68</v>
      </c>
      <c r="K57" s="41">
        <f t="shared" si="18"/>
        <v>67561.62</v>
      </c>
      <c r="L57" s="41">
        <f t="shared" si="18"/>
        <v>67483.95</v>
      </c>
      <c r="M57" s="41">
        <f t="shared" si="18"/>
        <v>70241.67</v>
      </c>
      <c r="N57" s="41">
        <f t="shared" si="18"/>
        <v>387334.33999999997</v>
      </c>
      <c r="O57" s="107">
        <f>O58</f>
        <v>572665.66</v>
      </c>
      <c r="P57" s="4"/>
    </row>
    <row r="58" spans="1:16" ht="15.75" x14ac:dyDescent="0.25">
      <c r="A58" s="19">
        <v>2</v>
      </c>
      <c r="B58" s="19">
        <v>2</v>
      </c>
      <c r="C58" s="19">
        <v>1</v>
      </c>
      <c r="D58" s="19">
        <v>6</v>
      </c>
      <c r="E58" s="19">
        <v>1</v>
      </c>
      <c r="F58" s="76" t="s">
        <v>43</v>
      </c>
      <c r="G58" s="69">
        <v>960000</v>
      </c>
      <c r="H58" s="36">
        <v>59164</v>
      </c>
      <c r="I58" s="36">
        <v>61608.42</v>
      </c>
      <c r="J58" s="36">
        <v>61274.68</v>
      </c>
      <c r="K58" s="36">
        <v>67561.62</v>
      </c>
      <c r="L58" s="36">
        <v>67483.95</v>
      </c>
      <c r="M58" s="36">
        <v>70241.67</v>
      </c>
      <c r="N58" s="85">
        <f>+H58+I58+J58+K58+L58+M58</f>
        <v>387334.33999999997</v>
      </c>
      <c r="O58" s="82">
        <f>+G58-N58</f>
        <v>572665.66</v>
      </c>
      <c r="P58" s="4"/>
    </row>
    <row r="59" spans="1:16" ht="15.75" x14ac:dyDescent="0.25">
      <c r="A59" s="19"/>
      <c r="B59" s="19"/>
      <c r="C59" s="19"/>
      <c r="D59" s="19"/>
      <c r="E59" s="19"/>
      <c r="F59" s="76"/>
      <c r="G59" s="46"/>
      <c r="H59" s="36"/>
      <c r="I59" s="36"/>
      <c r="J59" s="36"/>
      <c r="K59" s="36"/>
      <c r="L59" s="36"/>
      <c r="M59" s="36"/>
      <c r="N59" s="85"/>
      <c r="O59" s="82"/>
      <c r="P59" s="4"/>
    </row>
    <row r="60" spans="1:16" ht="32.25" thickBot="1" x14ac:dyDescent="0.3">
      <c r="A60" s="19">
        <v>2</v>
      </c>
      <c r="B60" s="19">
        <v>2</v>
      </c>
      <c r="C60" s="19">
        <v>2</v>
      </c>
      <c r="D60" s="19"/>
      <c r="E60" s="19"/>
      <c r="F60" s="74" t="s">
        <v>44</v>
      </c>
      <c r="G60" s="58">
        <f>SUM(G61:G62)</f>
        <v>3641500</v>
      </c>
      <c r="H60" s="26">
        <f>H61+H62</f>
        <v>4810</v>
      </c>
      <c r="I60" s="26">
        <f t="shared" ref="I60:O60" si="19">I61+I62</f>
        <v>204650</v>
      </c>
      <c r="J60" s="26">
        <f t="shared" si="19"/>
        <v>12661</v>
      </c>
      <c r="K60" s="26">
        <f t="shared" si="19"/>
        <v>0</v>
      </c>
      <c r="L60" s="26">
        <f t="shared" si="19"/>
        <v>0</v>
      </c>
      <c r="M60" s="26">
        <f t="shared" si="19"/>
        <v>353774</v>
      </c>
      <c r="N60" s="26">
        <f t="shared" si="19"/>
        <v>575895</v>
      </c>
      <c r="O60" s="86">
        <f t="shared" si="19"/>
        <v>3065605</v>
      </c>
      <c r="P60" s="4"/>
    </row>
    <row r="61" spans="1:16" ht="15.75" x14ac:dyDescent="0.25">
      <c r="A61" s="19">
        <v>2</v>
      </c>
      <c r="B61" s="19">
        <v>2</v>
      </c>
      <c r="C61" s="19">
        <v>2</v>
      </c>
      <c r="D61" s="19">
        <v>1</v>
      </c>
      <c r="E61" s="19"/>
      <c r="F61" s="75" t="s">
        <v>45</v>
      </c>
      <c r="G61" s="69">
        <v>1075500</v>
      </c>
      <c r="H61" s="35">
        <f>3100</f>
        <v>3100</v>
      </c>
      <c r="I61" s="35">
        <v>195000</v>
      </c>
      <c r="J61" s="35"/>
      <c r="K61" s="35"/>
      <c r="L61" s="35"/>
      <c r="M61" s="35"/>
      <c r="N61" s="83">
        <f>+H61+I61+J61+K61+L61+M61</f>
        <v>198100</v>
      </c>
      <c r="O61" s="88">
        <f>+G61-N61</f>
        <v>877400</v>
      </c>
      <c r="P61" s="4"/>
    </row>
    <row r="62" spans="1:16" ht="31.5" x14ac:dyDescent="0.25">
      <c r="A62" s="19">
        <v>2</v>
      </c>
      <c r="B62" s="19">
        <v>2</v>
      </c>
      <c r="C62" s="19">
        <v>2</v>
      </c>
      <c r="D62" s="19">
        <v>2</v>
      </c>
      <c r="E62" s="19"/>
      <c r="F62" s="75" t="s">
        <v>46</v>
      </c>
      <c r="G62" s="46">
        <v>2566000</v>
      </c>
      <c r="H62" s="36">
        <v>1710</v>
      </c>
      <c r="I62" s="36">
        <f>7470+2180</f>
        <v>9650</v>
      </c>
      <c r="J62" s="36">
        <v>12661</v>
      </c>
      <c r="K62" s="36"/>
      <c r="L62" s="36"/>
      <c r="M62" s="36">
        <f>328050+15281+10443</f>
        <v>353774</v>
      </c>
      <c r="N62" s="85">
        <f>+H62+I62+J62+K62+L62+M62</f>
        <v>377795</v>
      </c>
      <c r="O62" s="82">
        <f>+G62-N62</f>
        <v>2188205</v>
      </c>
      <c r="P62" s="4"/>
    </row>
    <row r="63" spans="1:16" ht="15.75" x14ac:dyDescent="0.25">
      <c r="A63" s="19"/>
      <c r="B63" s="19"/>
      <c r="C63" s="19"/>
      <c r="D63" s="19"/>
      <c r="E63" s="19"/>
      <c r="F63" s="76"/>
      <c r="G63" s="46"/>
      <c r="H63" s="36"/>
      <c r="I63" s="36"/>
      <c r="J63" s="36"/>
      <c r="K63" s="36"/>
      <c r="L63" s="36"/>
      <c r="M63" s="36"/>
      <c r="N63" s="85"/>
      <c r="O63" s="82"/>
      <c r="P63" s="4"/>
    </row>
    <row r="64" spans="1:16" ht="16.5" thickBot="1" x14ac:dyDescent="0.3">
      <c r="A64" s="19">
        <v>2</v>
      </c>
      <c r="B64" s="19">
        <v>2</v>
      </c>
      <c r="C64" s="19">
        <v>3</v>
      </c>
      <c r="D64" s="19"/>
      <c r="E64" s="19"/>
      <c r="F64" s="74" t="s">
        <v>47</v>
      </c>
      <c r="G64" s="58">
        <f>G65+G66</f>
        <v>729590</v>
      </c>
      <c r="H64" s="32">
        <f>H65+H66</f>
        <v>11400</v>
      </c>
      <c r="I64" s="32">
        <f t="shared" ref="I64:N64" si="20">I65+I66</f>
        <v>20000</v>
      </c>
      <c r="J64" s="32">
        <f t="shared" si="20"/>
        <v>6918</v>
      </c>
      <c r="K64" s="32">
        <f t="shared" si="20"/>
        <v>7800</v>
      </c>
      <c r="L64" s="32">
        <f t="shared" si="20"/>
        <v>152448</v>
      </c>
      <c r="M64" s="32">
        <f t="shared" si="20"/>
        <v>6000</v>
      </c>
      <c r="N64" s="32">
        <f t="shared" si="20"/>
        <v>204566</v>
      </c>
      <c r="O64" s="89">
        <f>O65+O66</f>
        <v>525024</v>
      </c>
      <c r="P64" s="4"/>
    </row>
    <row r="65" spans="1:16" ht="15.75" x14ac:dyDescent="0.25">
      <c r="A65" s="19">
        <v>2</v>
      </c>
      <c r="B65" s="19">
        <v>2</v>
      </c>
      <c r="C65" s="19">
        <v>3</v>
      </c>
      <c r="D65" s="19">
        <v>1</v>
      </c>
      <c r="E65" s="43"/>
      <c r="F65" s="75" t="s">
        <v>48</v>
      </c>
      <c r="G65" s="69">
        <v>200000</v>
      </c>
      <c r="H65" s="30">
        <f>1500+2800+2800+2800+1500</f>
        <v>11400</v>
      </c>
      <c r="I65" s="30">
        <v>20000</v>
      </c>
      <c r="J65" s="30">
        <f>5418+1500</f>
        <v>6918</v>
      </c>
      <c r="K65" s="30">
        <v>7800</v>
      </c>
      <c r="L65" s="30">
        <f>3000+1500+1500+4500+1500</f>
        <v>12000</v>
      </c>
      <c r="M65" s="30">
        <f>1500+1500+3000</f>
        <v>6000</v>
      </c>
      <c r="N65" s="133">
        <f>+H65+I65+J65+K65+L65+M65</f>
        <v>64118</v>
      </c>
      <c r="O65" s="103">
        <f>+G65-N65</f>
        <v>135882</v>
      </c>
      <c r="P65" s="4"/>
    </row>
    <row r="66" spans="1:16" ht="15.75" x14ac:dyDescent="0.25">
      <c r="A66" s="19">
        <v>2</v>
      </c>
      <c r="B66" s="19">
        <v>2</v>
      </c>
      <c r="C66" s="19">
        <v>3</v>
      </c>
      <c r="D66" s="19">
        <v>2</v>
      </c>
      <c r="E66" s="43"/>
      <c r="F66" s="75" t="s">
        <v>49</v>
      </c>
      <c r="G66" s="46">
        <v>529590</v>
      </c>
      <c r="H66" s="36"/>
      <c r="I66" s="36"/>
      <c r="J66" s="36"/>
      <c r="K66" s="36"/>
      <c r="L66" s="36">
        <v>140448</v>
      </c>
      <c r="M66" s="36"/>
      <c r="N66" s="85">
        <f>+H66+I66+J66+K66+L66+M66</f>
        <v>140448</v>
      </c>
      <c r="O66" s="82">
        <f>+G66-N66</f>
        <v>389142</v>
      </c>
      <c r="P66" s="4"/>
    </row>
    <row r="67" spans="1:16" ht="15.75" x14ac:dyDescent="0.25">
      <c r="A67" s="19"/>
      <c r="B67" s="19"/>
      <c r="C67" s="19"/>
      <c r="D67" s="19"/>
      <c r="E67" s="19"/>
      <c r="F67" s="75"/>
      <c r="G67" s="46"/>
      <c r="H67" s="36"/>
      <c r="I67" s="36"/>
      <c r="J67" s="36"/>
      <c r="K67" s="36"/>
      <c r="L67" s="36"/>
      <c r="M67" s="36"/>
      <c r="N67" s="85"/>
      <c r="O67" s="82"/>
      <c r="P67" s="4"/>
    </row>
    <row r="68" spans="1:16" ht="32.25" thickBot="1" x14ac:dyDescent="0.3">
      <c r="A68" s="19">
        <v>2</v>
      </c>
      <c r="B68" s="19">
        <v>2</v>
      </c>
      <c r="C68" s="19">
        <v>4</v>
      </c>
      <c r="D68" s="19"/>
      <c r="E68" s="19"/>
      <c r="F68" s="74" t="s">
        <v>50</v>
      </c>
      <c r="G68" s="58">
        <f>G69+G70</f>
        <v>523000</v>
      </c>
      <c r="H68" s="32">
        <f>H69+H70</f>
        <v>2000</v>
      </c>
      <c r="I68" s="32">
        <f t="shared" ref="I68:M68" si="21">I69+I70</f>
        <v>35296.089999999997</v>
      </c>
      <c r="J68" s="32">
        <f t="shared" si="21"/>
        <v>16324.18</v>
      </c>
      <c r="K68" s="32">
        <f t="shared" si="21"/>
        <v>339029.2</v>
      </c>
      <c r="L68" s="32">
        <f t="shared" si="21"/>
        <v>11167.54</v>
      </c>
      <c r="M68" s="32">
        <f t="shared" si="21"/>
        <v>9129.4</v>
      </c>
      <c r="N68" s="32">
        <f>N69+N70</f>
        <v>412946.41000000003</v>
      </c>
      <c r="O68" s="89">
        <f>O69+O70</f>
        <v>110053.58999999997</v>
      </c>
      <c r="P68" s="4"/>
    </row>
    <row r="69" spans="1:16" ht="15.75" x14ac:dyDescent="0.25">
      <c r="A69" s="19">
        <v>2</v>
      </c>
      <c r="B69" s="19">
        <v>2</v>
      </c>
      <c r="C69" s="19">
        <v>4</v>
      </c>
      <c r="D69" s="19">
        <v>1</v>
      </c>
      <c r="E69" s="19"/>
      <c r="F69" s="75" t="s">
        <v>51</v>
      </c>
      <c r="G69" s="69">
        <v>523000</v>
      </c>
      <c r="H69" s="36">
        <f>450+500+500+550</f>
        <v>2000</v>
      </c>
      <c r="I69" s="36">
        <f>8346.09+600+350+2000+24000</f>
        <v>35296.089999999997</v>
      </c>
      <c r="J69" s="36">
        <f>9974.18+500+600+750+750+750+750+750+750+750</f>
        <v>16324.18</v>
      </c>
      <c r="K69" s="36">
        <f>264819+39900+8585.2+700+700+700+700+700+700+700+700+700+700+1500+725+16500</f>
        <v>339029.2</v>
      </c>
      <c r="L69" s="36">
        <v>11167.54</v>
      </c>
      <c r="M69" s="36">
        <v>9129.4</v>
      </c>
      <c r="N69" s="85">
        <f>+H69+I69+J69+K69+L69+M69</f>
        <v>412946.41000000003</v>
      </c>
      <c r="O69" s="82">
        <f>+G69-N69</f>
        <v>110053.58999999997</v>
      </c>
      <c r="P69" s="4"/>
    </row>
    <row r="70" spans="1:16" ht="15.75" x14ac:dyDescent="0.25">
      <c r="A70" s="19">
        <v>2</v>
      </c>
      <c r="B70" s="19">
        <v>2</v>
      </c>
      <c r="C70" s="19">
        <v>4</v>
      </c>
      <c r="D70" s="19">
        <v>3</v>
      </c>
      <c r="E70" s="19"/>
      <c r="F70" s="75" t="s">
        <v>52</v>
      </c>
      <c r="G70" s="46"/>
      <c r="H70" s="36"/>
      <c r="I70" s="36"/>
      <c r="J70" s="36"/>
      <c r="K70" s="36"/>
      <c r="L70" s="36"/>
      <c r="M70" s="36"/>
      <c r="N70" s="85">
        <f>+H70+I70+J70+K70+L70</f>
        <v>0</v>
      </c>
      <c r="O70" s="82">
        <f>+G70-N70</f>
        <v>0</v>
      </c>
      <c r="P70" s="4"/>
    </row>
    <row r="71" spans="1:16" ht="15.75" x14ac:dyDescent="0.25">
      <c r="A71" s="19"/>
      <c r="B71" s="19"/>
      <c r="C71" s="19"/>
      <c r="D71" s="19"/>
      <c r="E71" s="19"/>
      <c r="F71" s="75"/>
      <c r="G71" s="46"/>
      <c r="H71" s="36"/>
      <c r="I71" s="36"/>
      <c r="J71" s="36"/>
      <c r="K71" s="36"/>
      <c r="L71" s="36"/>
      <c r="M71" s="36"/>
      <c r="N71" s="85"/>
      <c r="O71" s="82"/>
      <c r="P71" s="4"/>
    </row>
    <row r="72" spans="1:16" ht="16.5" thickBot="1" x14ac:dyDescent="0.3">
      <c r="A72" s="19">
        <v>2</v>
      </c>
      <c r="B72" s="19">
        <v>2</v>
      </c>
      <c r="C72" s="19">
        <v>5</v>
      </c>
      <c r="D72" s="19"/>
      <c r="E72" s="19"/>
      <c r="F72" s="74" t="s">
        <v>53</v>
      </c>
      <c r="G72" s="58">
        <f>G73+G78</f>
        <v>11463016</v>
      </c>
      <c r="H72" s="26">
        <f>H75+H73</f>
        <v>901172.12</v>
      </c>
      <c r="I72" s="26">
        <f t="shared" ref="I72:O72" si="22">I75+I73</f>
        <v>899520.22</v>
      </c>
      <c r="J72" s="26">
        <f t="shared" si="22"/>
        <v>853735.54</v>
      </c>
      <c r="K72" s="26">
        <f t="shared" si="22"/>
        <v>863657.15</v>
      </c>
      <c r="L72" s="26">
        <f t="shared" si="22"/>
        <v>849688.05</v>
      </c>
      <c r="M72" s="26">
        <f t="shared" si="22"/>
        <v>829295.16</v>
      </c>
      <c r="N72" s="26">
        <f t="shared" si="22"/>
        <v>5197068.2399999993</v>
      </c>
      <c r="O72" s="86">
        <f t="shared" si="22"/>
        <v>6265947.7600000007</v>
      </c>
      <c r="P72" s="4"/>
    </row>
    <row r="73" spans="1:16" ht="31.5" x14ac:dyDescent="0.25">
      <c r="A73" s="19">
        <v>2</v>
      </c>
      <c r="B73" s="19">
        <v>2</v>
      </c>
      <c r="C73" s="19">
        <v>5</v>
      </c>
      <c r="D73" s="19">
        <v>1</v>
      </c>
      <c r="E73" s="19"/>
      <c r="F73" s="76" t="s">
        <v>54</v>
      </c>
      <c r="G73" s="69">
        <v>11107423</v>
      </c>
      <c r="H73" s="35">
        <f>874357.27+18554.85</f>
        <v>892912.12</v>
      </c>
      <c r="I73" s="35">
        <f>18520.51+872739.71</f>
        <v>891260.22</v>
      </c>
      <c r="J73" s="35">
        <f>827145.89+17552.97</f>
        <v>844698.86</v>
      </c>
      <c r="K73" s="35">
        <f>837621.87+17775.28</f>
        <v>855397.15</v>
      </c>
      <c r="L73" s="35">
        <f>823943.05+17485</f>
        <v>841428.05</v>
      </c>
      <c r="M73" s="35">
        <f>803973.92+17061.24</f>
        <v>821035.16</v>
      </c>
      <c r="N73" s="83">
        <f>+H73+I73+J73+K73+L73+M73</f>
        <v>5146731.5599999996</v>
      </c>
      <c r="O73" s="88">
        <f>+G73-N73</f>
        <v>5960691.4400000004</v>
      </c>
      <c r="P73" s="4"/>
    </row>
    <row r="74" spans="1:16" ht="15.75" x14ac:dyDescent="0.25">
      <c r="A74" s="19"/>
      <c r="B74" s="19"/>
      <c r="C74" s="19"/>
      <c r="D74" s="19"/>
      <c r="E74" s="43"/>
      <c r="F74" s="75"/>
      <c r="G74" s="46"/>
      <c r="H74" s="36"/>
      <c r="I74" s="36"/>
      <c r="J74" s="36"/>
      <c r="K74" s="36"/>
      <c r="L74" s="36"/>
      <c r="M74" s="36"/>
      <c r="N74" s="85"/>
      <c r="O74" s="82"/>
      <c r="P74" s="4"/>
    </row>
    <row r="75" spans="1:16" ht="32.25" thickBot="1" x14ac:dyDescent="0.3">
      <c r="A75" s="19">
        <v>2</v>
      </c>
      <c r="B75" s="19">
        <v>2</v>
      </c>
      <c r="C75" s="19">
        <v>5</v>
      </c>
      <c r="D75" s="19">
        <v>3</v>
      </c>
      <c r="E75" s="24"/>
      <c r="F75" s="74" t="s">
        <v>55</v>
      </c>
      <c r="G75" s="58">
        <f>G76+G77+G78</f>
        <v>355593</v>
      </c>
      <c r="H75" s="32">
        <f>H76+H77+H78</f>
        <v>8260</v>
      </c>
      <c r="I75" s="32">
        <f t="shared" ref="I75:O75" si="23">I76+I77+I78</f>
        <v>8260</v>
      </c>
      <c r="J75" s="32">
        <f t="shared" si="23"/>
        <v>9036.68</v>
      </c>
      <c r="K75" s="32">
        <f t="shared" si="23"/>
        <v>8260</v>
      </c>
      <c r="L75" s="32">
        <f t="shared" si="23"/>
        <v>8260</v>
      </c>
      <c r="M75" s="32">
        <f t="shared" si="23"/>
        <v>8260</v>
      </c>
      <c r="N75" s="32">
        <f t="shared" si="23"/>
        <v>50336.68</v>
      </c>
      <c r="O75" s="89">
        <f t="shared" si="23"/>
        <v>305256.32000000001</v>
      </c>
      <c r="P75" s="4"/>
    </row>
    <row r="76" spans="1:16" ht="31.5" x14ac:dyDescent="0.25">
      <c r="A76" s="19">
        <v>2</v>
      </c>
      <c r="B76" s="19">
        <v>2</v>
      </c>
      <c r="C76" s="19">
        <v>5</v>
      </c>
      <c r="D76" s="19">
        <v>3</v>
      </c>
      <c r="E76" s="19">
        <v>2</v>
      </c>
      <c r="F76" s="76" t="s">
        <v>56</v>
      </c>
      <c r="G76" s="69"/>
      <c r="H76" s="36">
        <v>0</v>
      </c>
      <c r="I76" s="36">
        <v>0</v>
      </c>
      <c r="J76" s="36"/>
      <c r="K76" s="36"/>
      <c r="L76" s="36"/>
      <c r="M76" s="36"/>
      <c r="N76" s="85">
        <f>+H76+I76+J76+K76+L76+M76</f>
        <v>0</v>
      </c>
      <c r="O76" s="82">
        <f>+G76-N76</f>
        <v>0</v>
      </c>
      <c r="P76" s="4"/>
    </row>
    <row r="77" spans="1:16" s="3" customFormat="1" ht="31.5" x14ac:dyDescent="0.25">
      <c r="A77" s="19">
        <v>2</v>
      </c>
      <c r="B77" s="19">
        <v>2</v>
      </c>
      <c r="C77" s="19">
        <v>5</v>
      </c>
      <c r="D77" s="19">
        <v>3</v>
      </c>
      <c r="E77" s="19">
        <v>3</v>
      </c>
      <c r="F77" s="76" t="s">
        <v>57</v>
      </c>
      <c r="G77" s="46"/>
      <c r="H77" s="36"/>
      <c r="I77" s="36"/>
      <c r="J77" s="36"/>
      <c r="K77" s="36"/>
      <c r="L77" s="36"/>
      <c r="M77" s="36"/>
      <c r="N77" s="85">
        <f>+H77+I77+J77+K77+L77+M77</f>
        <v>0</v>
      </c>
      <c r="O77" s="82">
        <f>+G77-N77</f>
        <v>0</v>
      </c>
      <c r="P77" s="90"/>
    </row>
    <row r="78" spans="1:16" ht="31.5" x14ac:dyDescent="0.25">
      <c r="A78" s="19">
        <v>2</v>
      </c>
      <c r="B78" s="19">
        <v>2</v>
      </c>
      <c r="C78" s="19">
        <v>5</v>
      </c>
      <c r="D78" s="19">
        <v>3</v>
      </c>
      <c r="E78" s="19">
        <v>4</v>
      </c>
      <c r="F78" s="76" t="s">
        <v>58</v>
      </c>
      <c r="G78" s="46">
        <v>355593</v>
      </c>
      <c r="H78" s="36">
        <v>8260</v>
      </c>
      <c r="I78" s="36">
        <v>8260</v>
      </c>
      <c r="J78" s="36">
        <v>9036.68</v>
      </c>
      <c r="K78" s="36">
        <v>8260</v>
      </c>
      <c r="L78" s="36">
        <v>8260</v>
      </c>
      <c r="M78" s="36">
        <v>8260</v>
      </c>
      <c r="N78" s="85">
        <f>+H78+I78+J78+K78+L78+M78</f>
        <v>50336.68</v>
      </c>
      <c r="O78" s="82">
        <f>+G78-N78</f>
        <v>305256.32000000001</v>
      </c>
      <c r="P78" s="4"/>
    </row>
    <row r="79" spans="1:16" ht="16.5" thickBot="1" x14ac:dyDescent="0.3">
      <c r="A79" s="19"/>
      <c r="B79" s="19"/>
      <c r="C79" s="19"/>
      <c r="D79" s="19"/>
      <c r="E79" s="19"/>
      <c r="F79" s="76"/>
      <c r="G79" s="46"/>
      <c r="H79" s="36"/>
      <c r="I79" s="36"/>
      <c r="J79" s="36"/>
      <c r="K79" s="36"/>
      <c r="L79" s="36"/>
      <c r="M79" s="36"/>
      <c r="N79" s="85"/>
      <c r="O79" s="82"/>
      <c r="P79" s="4"/>
    </row>
    <row r="80" spans="1:16" ht="16.5" thickBot="1" x14ac:dyDescent="0.3">
      <c r="A80" s="19">
        <v>2</v>
      </c>
      <c r="B80" s="19">
        <v>2</v>
      </c>
      <c r="C80" s="19">
        <v>6</v>
      </c>
      <c r="D80" s="19"/>
      <c r="E80" s="19"/>
      <c r="F80" s="76" t="s">
        <v>59</v>
      </c>
      <c r="G80" s="59">
        <f>G82+G81</f>
        <v>2843017</v>
      </c>
      <c r="H80" s="39">
        <f>H82+H81</f>
        <v>163219.78</v>
      </c>
      <c r="I80" s="39">
        <f t="shared" ref="I80:J80" si="24">I82+I81</f>
        <v>272836.56</v>
      </c>
      <c r="J80" s="39">
        <f t="shared" si="24"/>
        <v>174310.05</v>
      </c>
      <c r="K80" s="39">
        <f>K82+K81</f>
        <v>281612.59999999998</v>
      </c>
      <c r="L80" s="39">
        <f>L82+L81</f>
        <v>186511.65</v>
      </c>
      <c r="M80" s="39">
        <f>M82+M81</f>
        <v>186511.65</v>
      </c>
      <c r="N80" s="39">
        <f>N82+N81</f>
        <v>1265002.29</v>
      </c>
      <c r="O80" s="108">
        <f>O82+O81</f>
        <v>1578014.71</v>
      </c>
      <c r="P80" s="4"/>
    </row>
    <row r="81" spans="1:16" ht="32.25" thickBot="1" x14ac:dyDescent="0.3">
      <c r="A81" s="44">
        <v>2</v>
      </c>
      <c r="B81" s="44">
        <v>2</v>
      </c>
      <c r="C81" s="44">
        <v>6</v>
      </c>
      <c r="D81" s="44">
        <v>2</v>
      </c>
      <c r="E81" s="44">
        <v>1</v>
      </c>
      <c r="F81" s="109" t="s">
        <v>60</v>
      </c>
      <c r="G81" s="45">
        <v>203017</v>
      </c>
      <c r="H81" s="45"/>
      <c r="I81" s="45">
        <f>19433.49+17052+40924.8+21116.22</f>
        <v>98526.510000000009</v>
      </c>
      <c r="J81" s="45"/>
      <c r="K81" s="45">
        <v>107302.55</v>
      </c>
      <c r="L81" s="45"/>
      <c r="M81" s="45"/>
      <c r="N81" s="45">
        <f>+H81+I81+J81+K81+L81+M81</f>
        <v>205829.06</v>
      </c>
      <c r="O81" s="110">
        <f>+G81-N81</f>
        <v>-2812.0599999999977</v>
      </c>
      <c r="P81" s="4"/>
    </row>
    <row r="82" spans="1:16" ht="15.75" x14ac:dyDescent="0.25">
      <c r="A82" s="19">
        <v>2</v>
      </c>
      <c r="B82" s="19">
        <v>2</v>
      </c>
      <c r="C82" s="19">
        <v>6</v>
      </c>
      <c r="D82" s="19">
        <v>3</v>
      </c>
      <c r="E82" s="19">
        <v>1</v>
      </c>
      <c r="F82" s="76" t="s">
        <v>61</v>
      </c>
      <c r="G82" s="46">
        <v>2640000</v>
      </c>
      <c r="H82" s="36">
        <v>163219.78</v>
      </c>
      <c r="I82" s="36">
        <f>174310.05</f>
        <v>174310.05</v>
      </c>
      <c r="J82" s="36">
        <v>174310.05</v>
      </c>
      <c r="K82" s="36">
        <v>174310.05</v>
      </c>
      <c r="L82" s="36">
        <v>186511.65</v>
      </c>
      <c r="M82" s="36">
        <v>186511.65</v>
      </c>
      <c r="N82" s="85">
        <f>+H82+I82+J82+K82+L82+M82</f>
        <v>1059173.23</v>
      </c>
      <c r="O82" s="82">
        <f>+G82-N82</f>
        <v>1580826.77</v>
      </c>
      <c r="P82" s="4"/>
    </row>
    <row r="83" spans="1:16" ht="15.75" x14ac:dyDescent="0.25">
      <c r="A83" s="19"/>
      <c r="B83" s="19"/>
      <c r="C83" s="19"/>
      <c r="D83" s="19"/>
      <c r="E83" s="19"/>
      <c r="F83" s="76"/>
      <c r="G83" s="46"/>
      <c r="H83" s="36">
        <v>0</v>
      </c>
      <c r="I83" s="36">
        <v>0</v>
      </c>
      <c r="J83" s="36"/>
      <c r="K83" s="36"/>
      <c r="L83" s="36"/>
      <c r="M83" s="36"/>
      <c r="N83" s="85"/>
      <c r="O83" s="82">
        <v>0</v>
      </c>
      <c r="P83" s="4"/>
    </row>
    <row r="84" spans="1:16" ht="63.75" thickBot="1" x14ac:dyDescent="0.3">
      <c r="A84" s="19">
        <v>2</v>
      </c>
      <c r="B84" s="19">
        <v>2</v>
      </c>
      <c r="C84" s="19">
        <v>7</v>
      </c>
      <c r="D84" s="19"/>
      <c r="E84" s="24"/>
      <c r="F84" s="74" t="s">
        <v>62</v>
      </c>
      <c r="G84" s="60">
        <f>G85</f>
        <v>398000</v>
      </c>
      <c r="H84" s="26">
        <f>SUM(H86:H90)</f>
        <v>4400</v>
      </c>
      <c r="I84" s="26">
        <f t="shared" ref="I84:O84" si="25">SUM(I86:I90)</f>
        <v>2800</v>
      </c>
      <c r="J84" s="26">
        <f t="shared" si="25"/>
        <v>6300</v>
      </c>
      <c r="K84" s="26">
        <f t="shared" si="25"/>
        <v>37058.050000000003</v>
      </c>
      <c r="L84" s="26">
        <f t="shared" si="25"/>
        <v>1900</v>
      </c>
      <c r="M84" s="26">
        <f t="shared" si="25"/>
        <v>16379.9</v>
      </c>
      <c r="N84" s="26">
        <f t="shared" si="25"/>
        <v>68837.950000000012</v>
      </c>
      <c r="O84" s="86">
        <f t="shared" si="25"/>
        <v>329162.05000000005</v>
      </c>
      <c r="P84" s="4"/>
    </row>
    <row r="85" spans="1:16" ht="32.25" thickBot="1" x14ac:dyDescent="0.3">
      <c r="A85" s="19">
        <v>2</v>
      </c>
      <c r="B85" s="19">
        <v>2</v>
      </c>
      <c r="C85" s="19">
        <v>7</v>
      </c>
      <c r="D85" s="19">
        <v>2</v>
      </c>
      <c r="E85" s="24"/>
      <c r="F85" s="74" t="s">
        <v>63</v>
      </c>
      <c r="G85" s="59">
        <f>SUM(G87:G90)</f>
        <v>398000</v>
      </c>
      <c r="H85" s="59">
        <f>SUM(H86:H90)</f>
        <v>4400</v>
      </c>
      <c r="I85" s="59">
        <f t="shared" ref="I85:N85" si="26">SUM(I86:I90)</f>
        <v>2800</v>
      </c>
      <c r="J85" s="59">
        <f t="shared" si="26"/>
        <v>6300</v>
      </c>
      <c r="K85" s="59">
        <f t="shared" si="26"/>
        <v>37058.050000000003</v>
      </c>
      <c r="L85" s="59">
        <f t="shared" si="26"/>
        <v>1900</v>
      </c>
      <c r="M85" s="59">
        <f t="shared" si="26"/>
        <v>16379.9</v>
      </c>
      <c r="N85" s="59">
        <f t="shared" si="26"/>
        <v>68837.950000000012</v>
      </c>
      <c r="O85" s="111">
        <f>SUM(O86:O90)</f>
        <v>329162.05000000005</v>
      </c>
      <c r="P85" s="4"/>
    </row>
    <row r="86" spans="1:16" ht="47.25" x14ac:dyDescent="0.25">
      <c r="A86" s="19">
        <v>2</v>
      </c>
      <c r="B86" s="19">
        <v>2</v>
      </c>
      <c r="C86" s="19">
        <v>7</v>
      </c>
      <c r="D86" s="19">
        <v>1</v>
      </c>
      <c r="E86" s="43">
        <v>2</v>
      </c>
      <c r="F86" s="112" t="s">
        <v>64</v>
      </c>
      <c r="G86" s="60"/>
      <c r="H86" s="60"/>
      <c r="I86" s="60"/>
      <c r="J86" s="60"/>
      <c r="K86" s="60"/>
      <c r="L86" s="60"/>
      <c r="M86" s="60"/>
      <c r="N86" s="134">
        <f>+H86+I86+J86+K86+L86+M86</f>
        <v>0</v>
      </c>
      <c r="O86" s="113">
        <f>+G87-N86</f>
        <v>80000</v>
      </c>
      <c r="P86" s="4"/>
    </row>
    <row r="87" spans="1:16" ht="47.25" x14ac:dyDescent="0.25">
      <c r="A87" s="19">
        <v>2</v>
      </c>
      <c r="B87" s="19">
        <v>2</v>
      </c>
      <c r="C87" s="19">
        <v>7</v>
      </c>
      <c r="D87" s="19">
        <v>2</v>
      </c>
      <c r="E87" s="43">
        <v>2</v>
      </c>
      <c r="F87" s="112" t="s">
        <v>65</v>
      </c>
      <c r="G87" s="46">
        <v>80000</v>
      </c>
      <c r="H87" s="36">
        <v>0</v>
      </c>
      <c r="I87" s="36">
        <v>0</v>
      </c>
      <c r="J87" s="36"/>
      <c r="K87" s="36"/>
      <c r="L87" s="36"/>
      <c r="M87" s="36"/>
      <c r="N87" s="134">
        <f>+H87+I87+J87+K87+L87+M87</f>
        <v>0</v>
      </c>
      <c r="O87" s="113">
        <f>+G88-N87</f>
        <v>0</v>
      </c>
      <c r="P87" s="4"/>
    </row>
    <row r="88" spans="1:16" ht="47.25" x14ac:dyDescent="0.25">
      <c r="A88" s="19">
        <v>2</v>
      </c>
      <c r="B88" s="19">
        <v>2</v>
      </c>
      <c r="C88" s="19">
        <v>7</v>
      </c>
      <c r="D88" s="19">
        <v>2</v>
      </c>
      <c r="E88" s="43">
        <v>3</v>
      </c>
      <c r="F88" s="112" t="s">
        <v>66</v>
      </c>
      <c r="G88" s="46"/>
      <c r="H88" s="46"/>
      <c r="I88" s="46"/>
      <c r="J88" s="46"/>
      <c r="K88" s="46"/>
      <c r="L88" s="46"/>
      <c r="M88" s="46"/>
      <c r="N88" s="134">
        <f>+H88+I88+J88+K88+L88+M88</f>
        <v>0</v>
      </c>
      <c r="O88" s="113">
        <f>+G88-N88</f>
        <v>0</v>
      </c>
      <c r="P88" s="4"/>
    </row>
    <row r="89" spans="1:16" ht="47.25" x14ac:dyDescent="0.25">
      <c r="A89" s="19">
        <v>2</v>
      </c>
      <c r="B89" s="19">
        <v>2</v>
      </c>
      <c r="C89" s="19">
        <v>7</v>
      </c>
      <c r="D89" s="19">
        <v>2</v>
      </c>
      <c r="E89" s="43">
        <v>4</v>
      </c>
      <c r="F89" s="112" t="s">
        <v>67</v>
      </c>
      <c r="G89" s="46">
        <v>118000</v>
      </c>
      <c r="H89" s="36"/>
      <c r="I89" s="36"/>
      <c r="J89" s="36"/>
      <c r="K89" s="36">
        <v>16726.5</v>
      </c>
      <c r="L89" s="36"/>
      <c r="M89" s="36">
        <v>13752.9</v>
      </c>
      <c r="N89" s="134">
        <f>+H89+I89+J89+K89+L89+M89</f>
        <v>30479.4</v>
      </c>
      <c r="O89" s="113">
        <f>+G89-N89</f>
        <v>87520.6</v>
      </c>
      <c r="P89" s="4"/>
    </row>
    <row r="90" spans="1:16" ht="63" x14ac:dyDescent="0.25">
      <c r="A90" s="19">
        <v>2</v>
      </c>
      <c r="B90" s="19">
        <v>2</v>
      </c>
      <c r="C90" s="19">
        <v>7</v>
      </c>
      <c r="D90" s="19">
        <v>2</v>
      </c>
      <c r="E90" s="43">
        <v>6</v>
      </c>
      <c r="F90" s="112" t="s">
        <v>68</v>
      </c>
      <c r="G90" s="46">
        <v>200000</v>
      </c>
      <c r="H90" s="36">
        <f>700+700+2300+700</f>
        <v>4400</v>
      </c>
      <c r="I90" s="36">
        <f>700+200+400+800+700</f>
        <v>2800</v>
      </c>
      <c r="J90" s="36">
        <f>5600+100+600</f>
        <v>6300</v>
      </c>
      <c r="K90" s="36">
        <f>9566.51+8965.04+600+350+350+500</f>
        <v>20331.550000000003</v>
      </c>
      <c r="L90" s="36">
        <f>600+600+700</f>
        <v>1900</v>
      </c>
      <c r="M90" s="36">
        <f>600+1327+600+100</f>
        <v>2627</v>
      </c>
      <c r="N90" s="134">
        <f>+H90+I90+J90+K90+L90+M90</f>
        <v>38358.550000000003</v>
      </c>
      <c r="O90" s="113">
        <f>+G90-N90</f>
        <v>161641.45000000001</v>
      </c>
      <c r="P90" s="4"/>
    </row>
    <row r="91" spans="1:16" ht="15.75" x14ac:dyDescent="0.25">
      <c r="A91" s="19"/>
      <c r="B91" s="19"/>
      <c r="C91" s="19"/>
      <c r="D91" s="19"/>
      <c r="E91" s="43"/>
      <c r="F91" s="75"/>
      <c r="G91" s="46"/>
      <c r="H91" s="36"/>
      <c r="I91" s="36"/>
      <c r="J91" s="36"/>
      <c r="K91" s="36"/>
      <c r="L91" s="36"/>
      <c r="M91" s="36"/>
      <c r="N91" s="85"/>
      <c r="O91" s="82"/>
      <c r="P91" s="4"/>
    </row>
    <row r="92" spans="1:16" ht="32.25" thickBot="1" x14ac:dyDescent="0.3">
      <c r="A92" s="19">
        <v>2</v>
      </c>
      <c r="B92" s="19">
        <v>2</v>
      </c>
      <c r="C92" s="19">
        <v>8</v>
      </c>
      <c r="D92" s="19"/>
      <c r="E92" s="24"/>
      <c r="F92" s="74" t="s">
        <v>69</v>
      </c>
      <c r="G92" s="60">
        <f>SUM(G93+G94)+G96+G102</f>
        <v>30781506</v>
      </c>
      <c r="H92" s="26">
        <f>H93+H94+H96+H102</f>
        <v>1027872.89</v>
      </c>
      <c r="I92" s="26">
        <f t="shared" ref="I92:O92" si="27">I93+I94+I96+I102</f>
        <v>1987672.88</v>
      </c>
      <c r="J92" s="26">
        <f t="shared" si="27"/>
        <v>1056163.1600000001</v>
      </c>
      <c r="K92" s="26">
        <f t="shared" si="27"/>
        <v>2415879.85</v>
      </c>
      <c r="L92" s="26">
        <f t="shared" si="27"/>
        <v>897488.94000000006</v>
      </c>
      <c r="M92" s="26">
        <f t="shared" si="27"/>
        <v>766768.88</v>
      </c>
      <c r="N92" s="26">
        <f>N93+N94+N96+N102</f>
        <v>8151846.5999999996</v>
      </c>
      <c r="O92" s="86">
        <f t="shared" si="27"/>
        <v>22629659.399999999</v>
      </c>
      <c r="P92" s="4"/>
    </row>
    <row r="93" spans="1:16" ht="31.5" x14ac:dyDescent="0.25">
      <c r="A93" s="19">
        <v>2</v>
      </c>
      <c r="B93" s="19">
        <v>2</v>
      </c>
      <c r="C93" s="19">
        <v>8</v>
      </c>
      <c r="D93" s="19">
        <v>2</v>
      </c>
      <c r="E93" s="43"/>
      <c r="F93" s="75" t="s">
        <v>70</v>
      </c>
      <c r="G93" s="69">
        <v>120000</v>
      </c>
      <c r="H93" s="35">
        <f>60+7580.62</f>
        <v>7640.62</v>
      </c>
      <c r="I93" s="35">
        <f>60+14000.05</f>
        <v>14060.05</v>
      </c>
      <c r="J93" s="35">
        <v>6097.72</v>
      </c>
      <c r="K93" s="35">
        <f>60+10013.96</f>
        <v>10073.959999999999</v>
      </c>
      <c r="L93" s="35">
        <v>9190.06</v>
      </c>
      <c r="M93" s="35">
        <v>8353.1200000000008</v>
      </c>
      <c r="N93" s="83">
        <f>+H93+I93+J93+K93+L93+M93</f>
        <v>55415.53</v>
      </c>
      <c r="O93" s="88">
        <f>+G93-N93</f>
        <v>64584.47</v>
      </c>
      <c r="P93" s="4"/>
    </row>
    <row r="94" spans="1:16" ht="31.5" x14ac:dyDescent="0.25">
      <c r="A94" s="19">
        <v>2</v>
      </c>
      <c r="B94" s="19">
        <v>2</v>
      </c>
      <c r="C94" s="19">
        <v>8</v>
      </c>
      <c r="D94" s="19">
        <v>4</v>
      </c>
      <c r="E94" s="19"/>
      <c r="F94" s="75" t="s">
        <v>71</v>
      </c>
      <c r="G94" s="46">
        <v>0</v>
      </c>
      <c r="H94" s="36">
        <v>0</v>
      </c>
      <c r="I94" s="36">
        <v>0</v>
      </c>
      <c r="J94" s="36"/>
      <c r="K94" s="36"/>
      <c r="L94" s="36"/>
      <c r="M94" s="36">
        <v>11800</v>
      </c>
      <c r="N94" s="85">
        <f>+H94+I94+J94+K94+L94+M94</f>
        <v>11800</v>
      </c>
      <c r="O94" s="82">
        <f>+G94-N94</f>
        <v>-11800</v>
      </c>
      <c r="P94" s="4"/>
    </row>
    <row r="95" spans="1:16" ht="15.75" x14ac:dyDescent="0.25">
      <c r="A95" s="19"/>
      <c r="B95" s="19"/>
      <c r="C95" s="19"/>
      <c r="D95" s="19"/>
      <c r="E95" s="19"/>
      <c r="F95" s="75"/>
      <c r="G95" s="46"/>
      <c r="H95" s="36"/>
      <c r="I95" s="36"/>
      <c r="J95" s="36"/>
      <c r="K95" s="36"/>
      <c r="L95" s="36"/>
      <c r="M95" s="36"/>
      <c r="N95" s="85"/>
      <c r="O95" s="82"/>
      <c r="P95" s="4"/>
    </row>
    <row r="96" spans="1:16" ht="32.25" thickBot="1" x14ac:dyDescent="0.3">
      <c r="A96" s="19">
        <v>2</v>
      </c>
      <c r="B96" s="19">
        <v>2</v>
      </c>
      <c r="C96" s="19">
        <v>8</v>
      </c>
      <c r="D96" s="19">
        <v>6</v>
      </c>
      <c r="E96" s="24"/>
      <c r="F96" s="74" t="s">
        <v>72</v>
      </c>
      <c r="G96" s="60">
        <f>G97+G98</f>
        <v>9551002</v>
      </c>
      <c r="H96" s="41">
        <f>H97+H98+H99</f>
        <v>369563.5</v>
      </c>
      <c r="I96" s="41">
        <f t="shared" ref="I96:J96" si="28">I97+I98+I99</f>
        <v>82996.73000000001</v>
      </c>
      <c r="J96" s="41">
        <f t="shared" si="28"/>
        <v>268520</v>
      </c>
      <c r="K96" s="41">
        <f>K97+K98+K99+K100</f>
        <v>1547991.83</v>
      </c>
      <c r="L96" s="41">
        <f>L97+L98+L99+L100</f>
        <v>100268.39</v>
      </c>
      <c r="M96" s="41">
        <f>M97+M98+M99+M100</f>
        <v>101236.03</v>
      </c>
      <c r="N96" s="41">
        <f>N97+N98+N99+N100</f>
        <v>2470576.48</v>
      </c>
      <c r="O96" s="41">
        <f>O97+O98+O99+O100</f>
        <v>7080425.5199999996</v>
      </c>
      <c r="P96" s="4"/>
    </row>
    <row r="97" spans="1:16" ht="15.75" x14ac:dyDescent="0.25">
      <c r="A97" s="19">
        <v>2</v>
      </c>
      <c r="B97" s="19">
        <v>2</v>
      </c>
      <c r="C97" s="19">
        <v>8</v>
      </c>
      <c r="D97" s="19">
        <v>6</v>
      </c>
      <c r="E97" s="19">
        <v>1</v>
      </c>
      <c r="F97" s="75" t="s">
        <v>73</v>
      </c>
      <c r="G97" s="69">
        <v>9155002</v>
      </c>
      <c r="H97" s="35">
        <f>8102+7522.5+8869</f>
        <v>24493.5</v>
      </c>
      <c r="I97" s="35">
        <f>7522.5+8869+15694+21240</f>
        <v>53325.5</v>
      </c>
      <c r="J97" s="35"/>
      <c r="K97" s="35">
        <f>14042+575750</f>
        <v>589792</v>
      </c>
      <c r="L97" s="35">
        <f>47950+7847</f>
        <v>55797</v>
      </c>
      <c r="M97" s="36">
        <v>42000</v>
      </c>
      <c r="N97" s="83">
        <f>+H97+I97+J97+K97+L97+M97</f>
        <v>765408</v>
      </c>
      <c r="O97" s="88">
        <f>+G97-N97</f>
        <v>8389594</v>
      </c>
      <c r="P97" s="4"/>
    </row>
    <row r="98" spans="1:16" ht="15.75" x14ac:dyDescent="0.25">
      <c r="A98" s="19">
        <v>2</v>
      </c>
      <c r="B98" s="19">
        <v>2</v>
      </c>
      <c r="C98" s="19">
        <v>8</v>
      </c>
      <c r="D98" s="19">
        <v>6</v>
      </c>
      <c r="E98" s="19">
        <v>2</v>
      </c>
      <c r="F98" s="75" t="s">
        <v>74</v>
      </c>
      <c r="G98" s="46">
        <v>396000</v>
      </c>
      <c r="H98" s="36">
        <f>4370+3200</f>
        <v>7570</v>
      </c>
      <c r="I98" s="36">
        <v>8950</v>
      </c>
      <c r="J98" s="36">
        <v>8520</v>
      </c>
      <c r="K98" s="36">
        <f>16874+2780+60187</f>
        <v>79841</v>
      </c>
      <c r="L98" s="36">
        <f>11940+14970+795</f>
        <v>27705</v>
      </c>
      <c r="M98" s="36">
        <f>17200+5900+14970</f>
        <v>38070</v>
      </c>
      <c r="N98" s="85">
        <f>+H98+I98+J98+K98+L98+M98</f>
        <v>170656</v>
      </c>
      <c r="O98" s="82">
        <f>+G98-N98</f>
        <v>225344</v>
      </c>
      <c r="P98" s="4"/>
    </row>
    <row r="99" spans="1:16" ht="31.5" x14ac:dyDescent="0.25">
      <c r="A99" s="19">
        <v>2</v>
      </c>
      <c r="B99" s="19">
        <v>2</v>
      </c>
      <c r="C99" s="19">
        <v>8</v>
      </c>
      <c r="D99" s="19">
        <v>6</v>
      </c>
      <c r="E99" s="19">
        <v>3</v>
      </c>
      <c r="F99" s="75" t="s">
        <v>122</v>
      </c>
      <c r="G99" s="34"/>
      <c r="H99" s="36">
        <v>337500</v>
      </c>
      <c r="I99" s="36">
        <f>5026+7170.2+8525.03</f>
        <v>20721.230000000003</v>
      </c>
      <c r="J99" s="36">
        <v>260000</v>
      </c>
      <c r="K99" s="36">
        <v>38727.879999999997</v>
      </c>
      <c r="L99" s="36">
        <f>3500+7168.77+6097.62</f>
        <v>16766.39</v>
      </c>
      <c r="M99" s="36">
        <v>21166.03</v>
      </c>
      <c r="N99" s="85">
        <f>+H99+I99+J99+K99+L99+M99</f>
        <v>694881.53</v>
      </c>
      <c r="O99" s="82">
        <f>+G99-N99</f>
        <v>-694881.53</v>
      </c>
      <c r="P99" s="4"/>
    </row>
    <row r="100" spans="1:16" ht="15.75" x14ac:dyDescent="0.25">
      <c r="A100" s="19">
        <v>2</v>
      </c>
      <c r="B100" s="19">
        <v>2</v>
      </c>
      <c r="C100" s="19">
        <v>8</v>
      </c>
      <c r="D100" s="19">
        <v>6</v>
      </c>
      <c r="E100" s="19">
        <v>4</v>
      </c>
      <c r="F100" s="75" t="s">
        <v>139</v>
      </c>
      <c r="G100" s="34"/>
      <c r="H100" s="36"/>
      <c r="I100" s="36"/>
      <c r="J100" s="36"/>
      <c r="K100" s="36">
        <f>7349.75+25735.8+800000+5625+920.4</f>
        <v>839630.95000000007</v>
      </c>
      <c r="L100" s="36"/>
      <c r="M100" s="36"/>
      <c r="N100" s="85">
        <f>+H100+I100+J100+K100+L100+M100</f>
        <v>839630.95000000007</v>
      </c>
      <c r="O100" s="82">
        <f>+G100-N100</f>
        <v>-839630.95000000007</v>
      </c>
      <c r="P100" s="4"/>
    </row>
    <row r="101" spans="1:16" ht="15.75" x14ac:dyDescent="0.25">
      <c r="A101" s="19"/>
      <c r="B101" s="19"/>
      <c r="C101" s="19"/>
      <c r="D101" s="19"/>
      <c r="E101" s="19"/>
      <c r="F101" s="75"/>
      <c r="G101" s="34"/>
      <c r="H101" s="36"/>
      <c r="I101" s="36"/>
      <c r="J101" s="36"/>
      <c r="K101" s="36"/>
      <c r="L101" s="36"/>
      <c r="M101" s="36"/>
      <c r="N101" s="85"/>
      <c r="O101" s="82"/>
      <c r="P101" s="4"/>
    </row>
    <row r="102" spans="1:16" ht="31.5" x14ac:dyDescent="0.25">
      <c r="A102" s="19">
        <v>2</v>
      </c>
      <c r="B102" s="19">
        <v>2</v>
      </c>
      <c r="C102" s="19">
        <v>8</v>
      </c>
      <c r="D102" s="19">
        <v>7</v>
      </c>
      <c r="E102" s="24"/>
      <c r="F102" s="74" t="s">
        <v>75</v>
      </c>
      <c r="G102" s="48">
        <f>G103+G104+G105+G106+G107</f>
        <v>21110504</v>
      </c>
      <c r="H102" s="42">
        <f>H103+H104+H105+H106+H107</f>
        <v>650668.77</v>
      </c>
      <c r="I102" s="42">
        <f t="shared" ref="I102:O102" si="29">I103+I104+I105+I106+I107</f>
        <v>1890616.0999999999</v>
      </c>
      <c r="J102" s="42">
        <f>J103+J104+J105+J106+J107</f>
        <v>781545.44000000006</v>
      </c>
      <c r="K102" s="42">
        <f t="shared" si="29"/>
        <v>857814.05999999994</v>
      </c>
      <c r="L102" s="42">
        <f>L103+L104+L105+L106+L107</f>
        <v>788030.49000000011</v>
      </c>
      <c r="M102" s="42">
        <f>M103+M104+M105+M106+M107</f>
        <v>645379.73</v>
      </c>
      <c r="N102" s="42">
        <f t="shared" si="29"/>
        <v>5614054.5899999999</v>
      </c>
      <c r="O102" s="114">
        <f t="shared" si="29"/>
        <v>15496449.41</v>
      </c>
      <c r="P102" s="4"/>
    </row>
    <row r="103" spans="1:16" ht="31.5" x14ac:dyDescent="0.25">
      <c r="A103" s="19">
        <v>2</v>
      </c>
      <c r="B103" s="19">
        <v>2</v>
      </c>
      <c r="C103" s="19">
        <v>8</v>
      </c>
      <c r="D103" s="19">
        <v>7</v>
      </c>
      <c r="E103" s="19">
        <v>1</v>
      </c>
      <c r="F103" s="75" t="s">
        <v>76</v>
      </c>
      <c r="G103" s="34">
        <v>2744000</v>
      </c>
      <c r="H103" s="36"/>
      <c r="I103" s="36"/>
      <c r="J103" s="36"/>
      <c r="K103" s="36"/>
      <c r="L103" s="36"/>
      <c r="M103" s="36"/>
      <c r="N103" s="85">
        <f>+H103+I103+J103+K103+L103+M103</f>
        <v>0</v>
      </c>
      <c r="O103" s="82">
        <f>+G103-N103</f>
        <v>2744000</v>
      </c>
      <c r="P103" s="4"/>
    </row>
    <row r="104" spans="1:16" ht="31.5" x14ac:dyDescent="0.25">
      <c r="A104" s="19">
        <v>2</v>
      </c>
      <c r="B104" s="19">
        <v>2</v>
      </c>
      <c r="C104" s="19">
        <v>8</v>
      </c>
      <c r="D104" s="19">
        <v>7</v>
      </c>
      <c r="E104" s="43">
        <v>3</v>
      </c>
      <c r="F104" s="75" t="s">
        <v>77</v>
      </c>
      <c r="G104" s="34">
        <v>315000</v>
      </c>
      <c r="H104" s="36"/>
      <c r="I104" s="36"/>
      <c r="J104" s="36"/>
      <c r="K104" s="36"/>
      <c r="L104" s="36"/>
      <c r="M104" s="36"/>
      <c r="N104" s="85">
        <f>+H104+I104+J104+K104+L104+M104</f>
        <v>0</v>
      </c>
      <c r="O104" s="82">
        <f>+G104-N104</f>
        <v>315000</v>
      </c>
      <c r="P104" s="4"/>
    </row>
    <row r="105" spans="1:16" ht="15.75" x14ac:dyDescent="0.25">
      <c r="A105" s="19">
        <v>2</v>
      </c>
      <c r="B105" s="19">
        <v>2</v>
      </c>
      <c r="C105" s="19">
        <v>8</v>
      </c>
      <c r="D105" s="19">
        <v>7</v>
      </c>
      <c r="E105" s="19">
        <v>4</v>
      </c>
      <c r="F105" s="75" t="s">
        <v>78</v>
      </c>
      <c r="G105" s="34">
        <v>225000</v>
      </c>
      <c r="H105" s="36"/>
      <c r="I105" s="36"/>
      <c r="J105" s="36"/>
      <c r="K105" s="36">
        <v>18000</v>
      </c>
      <c r="L105" s="36">
        <v>29760</v>
      </c>
      <c r="M105" s="36">
        <v>29760</v>
      </c>
      <c r="N105" s="85">
        <f>+H105+I105+J105+K105+L105+M105</f>
        <v>77520</v>
      </c>
      <c r="O105" s="82">
        <f>+G105-N105</f>
        <v>147480</v>
      </c>
      <c r="P105" s="4"/>
    </row>
    <row r="106" spans="1:16" ht="31.5" x14ac:dyDescent="0.25">
      <c r="A106" s="19">
        <v>2</v>
      </c>
      <c r="B106" s="19">
        <v>2</v>
      </c>
      <c r="C106" s="19">
        <v>8</v>
      </c>
      <c r="D106" s="19">
        <v>7</v>
      </c>
      <c r="E106" s="19">
        <v>5</v>
      </c>
      <c r="F106" s="75" t="s">
        <v>79</v>
      </c>
      <c r="G106" s="34">
        <v>3037000</v>
      </c>
      <c r="H106" s="36"/>
      <c r="I106" s="36">
        <v>25770.63</v>
      </c>
      <c r="J106" s="36">
        <v>18613.849999999999</v>
      </c>
      <c r="K106" s="36">
        <v>114858.63</v>
      </c>
      <c r="L106" s="36">
        <v>27617.65</v>
      </c>
      <c r="M106" s="36">
        <f>24019.9</f>
        <v>24019.9</v>
      </c>
      <c r="N106" s="85">
        <f>+H106+I106+J106+K106+L106+M106</f>
        <v>210880.65999999997</v>
      </c>
      <c r="O106" s="82">
        <f>+G106-N106</f>
        <v>2826119.34</v>
      </c>
      <c r="P106" s="4"/>
    </row>
    <row r="107" spans="1:16" ht="31.5" x14ac:dyDescent="0.25">
      <c r="A107" s="19">
        <v>2</v>
      </c>
      <c r="B107" s="19">
        <v>2</v>
      </c>
      <c r="C107" s="19">
        <v>8</v>
      </c>
      <c r="D107" s="19">
        <v>7</v>
      </c>
      <c r="E107" s="19">
        <v>6</v>
      </c>
      <c r="F107" s="75" t="s">
        <v>80</v>
      </c>
      <c r="G107" s="34">
        <v>14789504</v>
      </c>
      <c r="H107" s="36">
        <f>11800+30510+144225.5+177000+188800+35400+62933.27</f>
        <v>650668.77</v>
      </c>
      <c r="I107" s="36">
        <f>8024+3500+1500+165200+99120+29598.33+181871.04+264615+293932.1+20060+4000+200+188800+177000+144225+165200+118000</f>
        <v>1864845.47</v>
      </c>
      <c r="J107" s="36">
        <f>27140+188800+17700+29598.33+144225.5+118000+177000+13500+45467.76+1500</f>
        <v>762931.59000000008</v>
      </c>
      <c r="K107" s="36">
        <f>35400+293932.1+29598.33+144225+35400+118000+29500+3500+35400</f>
        <v>724955.42999999993</v>
      </c>
      <c r="L107" s="36">
        <f>48000+14750+148680+164325.01+15000+13500+29598.33+11800+14750+118000+144225.5+8024</f>
        <v>730652.84000000008</v>
      </c>
      <c r="M107" s="36">
        <f>8024+14750+118000+144225+264615+587+11800+29598.83</f>
        <v>591599.82999999996</v>
      </c>
      <c r="N107" s="85">
        <f>+H107+I107+J107+K107+L107+M107</f>
        <v>5325653.93</v>
      </c>
      <c r="O107" s="82">
        <f>+G107-N107</f>
        <v>9463850.0700000003</v>
      </c>
      <c r="P107" s="4"/>
    </row>
    <row r="108" spans="1:16" ht="16.5" thickBot="1" x14ac:dyDescent="0.3">
      <c r="A108" s="19"/>
      <c r="B108" s="19"/>
      <c r="C108" s="19"/>
      <c r="D108" s="19"/>
      <c r="E108" s="19"/>
      <c r="F108" s="75"/>
      <c r="G108" s="37"/>
      <c r="H108" s="41"/>
      <c r="I108" s="41"/>
      <c r="J108" s="41"/>
      <c r="K108" s="41"/>
      <c r="L108" s="41"/>
      <c r="M108" s="41"/>
      <c r="N108" s="91"/>
      <c r="O108" s="107"/>
      <c r="P108" s="4"/>
    </row>
    <row r="109" spans="1:16" ht="32.25" thickBot="1" x14ac:dyDescent="0.3">
      <c r="A109" s="19">
        <v>2</v>
      </c>
      <c r="B109" s="19">
        <v>2</v>
      </c>
      <c r="C109" s="19">
        <v>9</v>
      </c>
      <c r="D109" s="19"/>
      <c r="E109" s="19"/>
      <c r="F109" s="74" t="s">
        <v>81</v>
      </c>
      <c r="G109" s="29">
        <f>G110+G111</f>
        <v>200000</v>
      </c>
      <c r="H109" s="61">
        <f>H110+H111</f>
        <v>32091.35</v>
      </c>
      <c r="I109" s="61">
        <f t="shared" ref="I109:O109" si="30">I110+I111</f>
        <v>33347.26</v>
      </c>
      <c r="J109" s="61">
        <f t="shared" si="30"/>
        <v>69225.97</v>
      </c>
      <c r="K109" s="61">
        <f>K110+K111</f>
        <v>92797.31</v>
      </c>
      <c r="L109" s="61">
        <f>L110+L111</f>
        <v>60816.299999999996</v>
      </c>
      <c r="M109" s="61">
        <f>M110+M111</f>
        <v>86394.22</v>
      </c>
      <c r="N109" s="61">
        <f t="shared" si="30"/>
        <v>374672.41000000003</v>
      </c>
      <c r="O109" s="115">
        <f t="shared" si="30"/>
        <v>-174672.41000000003</v>
      </c>
      <c r="P109" s="4"/>
    </row>
    <row r="110" spans="1:16" ht="16.5" thickBot="1" x14ac:dyDescent="0.3">
      <c r="A110" s="19">
        <v>2</v>
      </c>
      <c r="B110" s="19">
        <v>2</v>
      </c>
      <c r="C110" s="19">
        <v>9</v>
      </c>
      <c r="D110" s="19">
        <v>2</v>
      </c>
      <c r="E110" s="19"/>
      <c r="F110" s="75" t="s">
        <v>82</v>
      </c>
      <c r="G110" s="27"/>
      <c r="H110" s="49"/>
      <c r="I110" s="49"/>
      <c r="J110" s="49"/>
      <c r="K110" s="49"/>
      <c r="L110" s="49"/>
      <c r="M110" s="49"/>
      <c r="N110" s="135"/>
      <c r="O110" s="116"/>
      <c r="P110" s="4"/>
    </row>
    <row r="111" spans="1:16" ht="15.75" x14ac:dyDescent="0.25">
      <c r="A111" s="19"/>
      <c r="B111" s="19">
        <v>2</v>
      </c>
      <c r="C111" s="19">
        <v>9</v>
      </c>
      <c r="D111" s="19">
        <v>2</v>
      </c>
      <c r="E111" s="19">
        <v>1</v>
      </c>
      <c r="F111" s="75" t="s">
        <v>82</v>
      </c>
      <c r="G111" s="34">
        <v>200000</v>
      </c>
      <c r="H111" s="36">
        <f>220+1403.85+379.9+360+430+259.81+1280+619.8+504+759.8+25874.19</f>
        <v>32091.35</v>
      </c>
      <c r="I111" s="36">
        <f>1700+1446.8+50+360+1646.65+8326.72+360+504+17318.09+360+400+875</f>
        <v>33347.26</v>
      </c>
      <c r="J111" s="36">
        <f>26408.57+11885.21+640+180+820+500+432+79.99+504+360+27416.2</f>
        <v>69225.97</v>
      </c>
      <c r="K111" s="36">
        <f>8555+31141.09+14500+1499.75+216+18800+8283.67+1450+480+1122.95+966.85+155.9+4537.1+480+609</f>
        <v>92797.31</v>
      </c>
      <c r="L111" s="36">
        <f>13169.95+44102.5+1823.85+480+20+600+600+20</f>
        <v>60816.299999999996</v>
      </c>
      <c r="M111" s="36">
        <f>600+707.25+696+30+718.55+31+395.65+348+209.95+348+348+1823.85+480+20+600+600+20+1068.97+77349</f>
        <v>86394.22</v>
      </c>
      <c r="N111" s="85">
        <f>+H111+I111+J111+K111+L111+M111</f>
        <v>374672.41000000003</v>
      </c>
      <c r="O111" s="82">
        <f>+G111-N111</f>
        <v>-174672.41000000003</v>
      </c>
      <c r="P111" s="4"/>
    </row>
    <row r="112" spans="1:16" ht="15.75" x14ac:dyDescent="0.25">
      <c r="A112" s="19"/>
      <c r="B112" s="19"/>
      <c r="C112" s="19"/>
      <c r="D112" s="19"/>
      <c r="E112" s="19"/>
      <c r="F112" s="75"/>
      <c r="G112" s="34"/>
      <c r="H112" s="36"/>
      <c r="I112" s="36"/>
      <c r="J112" s="36"/>
      <c r="K112" s="36" t="s">
        <v>17</v>
      </c>
      <c r="L112" s="36" t="s">
        <v>17</v>
      </c>
      <c r="M112" s="36"/>
      <c r="N112" s="85"/>
      <c r="O112" s="82"/>
      <c r="P112" s="4"/>
    </row>
    <row r="113" spans="1:16" ht="32.25" thickBot="1" x14ac:dyDescent="0.3">
      <c r="A113" s="19">
        <v>2</v>
      </c>
      <c r="B113" s="19">
        <v>3</v>
      </c>
      <c r="C113" s="19"/>
      <c r="D113" s="19"/>
      <c r="E113" s="24"/>
      <c r="F113" s="74" t="s">
        <v>83</v>
      </c>
      <c r="G113" s="25">
        <f>G114+G118+G121+G127+G131+G139</f>
        <v>1956500</v>
      </c>
      <c r="H113" s="58">
        <f>H114+H118+H121+H127+H131+H139</f>
        <v>313477.32</v>
      </c>
      <c r="I113" s="58">
        <f t="shared" ref="I113:O113" si="31">I114+I118+I121+I127+I131+I139</f>
        <v>119674.04000000001</v>
      </c>
      <c r="J113" s="58">
        <f t="shared" si="31"/>
        <v>22314.080000000002</v>
      </c>
      <c r="K113" s="58">
        <f>K114+K118+K121+K127+K131+K139</f>
        <v>77488.133000000002</v>
      </c>
      <c r="L113" s="58">
        <f>L114+L118+L121+L127+L131+L139</f>
        <v>24989.08</v>
      </c>
      <c r="M113" s="58">
        <f>M114+M118+M121+M127+M131+M139</f>
        <v>278820.82</v>
      </c>
      <c r="N113" s="58">
        <f t="shared" si="31"/>
        <v>836763.473</v>
      </c>
      <c r="O113" s="117">
        <f t="shared" si="31"/>
        <v>1119736.527</v>
      </c>
      <c r="P113" s="4"/>
    </row>
    <row r="114" spans="1:16" ht="12" customHeight="1" thickBot="1" x14ac:dyDescent="0.3">
      <c r="A114" s="19">
        <v>2</v>
      </c>
      <c r="B114" s="19">
        <v>3</v>
      </c>
      <c r="C114" s="19">
        <v>1</v>
      </c>
      <c r="D114" s="19"/>
      <c r="E114" s="24"/>
      <c r="F114" s="74" t="s">
        <v>84</v>
      </c>
      <c r="G114" s="38">
        <f>G115</f>
        <v>0</v>
      </c>
      <c r="H114" s="39">
        <f>H115</f>
        <v>0</v>
      </c>
      <c r="I114" s="39">
        <f>I115</f>
        <v>0</v>
      </c>
      <c r="J114" s="39"/>
      <c r="K114" s="39"/>
      <c r="L114" s="39"/>
      <c r="M114" s="39"/>
      <c r="N114" s="136"/>
      <c r="O114" s="108">
        <f>O115</f>
        <v>0</v>
      </c>
      <c r="P114" s="4"/>
    </row>
    <row r="115" spans="1:16" ht="12" customHeight="1" x14ac:dyDescent="0.25">
      <c r="A115" s="19">
        <v>2</v>
      </c>
      <c r="B115" s="19">
        <v>3</v>
      </c>
      <c r="C115" s="19">
        <v>1</v>
      </c>
      <c r="D115" s="19">
        <v>1</v>
      </c>
      <c r="E115" s="24"/>
      <c r="F115" s="75" t="s">
        <v>85</v>
      </c>
      <c r="G115" s="34">
        <f>G116</f>
        <v>0</v>
      </c>
      <c r="H115" s="31"/>
      <c r="I115" s="31"/>
      <c r="J115" s="31"/>
      <c r="K115" s="31"/>
      <c r="L115" s="31"/>
      <c r="M115" s="31"/>
      <c r="N115" s="79">
        <f>+H115+I115+J115+K115+L115</f>
        <v>0</v>
      </c>
      <c r="O115" s="82">
        <f>+G115-N115</f>
        <v>0</v>
      </c>
      <c r="P115" s="4"/>
    </row>
    <row r="116" spans="1:16" ht="12" customHeight="1" x14ac:dyDescent="0.25">
      <c r="A116" s="19">
        <v>2</v>
      </c>
      <c r="B116" s="19">
        <v>3</v>
      </c>
      <c r="C116" s="19">
        <v>1</v>
      </c>
      <c r="D116" s="19">
        <v>1</v>
      </c>
      <c r="E116" s="24">
        <v>1</v>
      </c>
      <c r="F116" s="75" t="s">
        <v>85</v>
      </c>
      <c r="G116" s="34"/>
      <c r="H116" s="36">
        <v>0</v>
      </c>
      <c r="I116" s="36">
        <v>0</v>
      </c>
      <c r="J116" s="36"/>
      <c r="K116" s="36"/>
      <c r="L116" s="36"/>
      <c r="M116" s="36"/>
      <c r="N116" s="85">
        <f>+H116+I116+J116+K116+L116</f>
        <v>0</v>
      </c>
      <c r="O116" s="82">
        <f>+G116-N116</f>
        <v>0</v>
      </c>
      <c r="P116" s="4"/>
    </row>
    <row r="117" spans="1:16" ht="12" customHeight="1" x14ac:dyDescent="0.25">
      <c r="A117" s="19"/>
      <c r="B117" s="19"/>
      <c r="C117" s="19"/>
      <c r="D117" s="19"/>
      <c r="E117" s="24"/>
      <c r="F117" s="74"/>
      <c r="G117" s="34"/>
      <c r="H117" s="36"/>
      <c r="I117" s="36"/>
      <c r="J117" s="36"/>
      <c r="K117" s="36"/>
      <c r="L117" s="36"/>
      <c r="M117" s="36"/>
      <c r="N117" s="85"/>
      <c r="O117" s="82">
        <f>+G117-N117</f>
        <v>0</v>
      </c>
      <c r="P117" s="4"/>
    </row>
    <row r="118" spans="1:16" s="2" customFormat="1" ht="16.5" thickBot="1" x14ac:dyDescent="0.3">
      <c r="A118" s="19">
        <v>2</v>
      </c>
      <c r="B118" s="19">
        <v>3</v>
      </c>
      <c r="C118" s="19">
        <v>2</v>
      </c>
      <c r="D118" s="19"/>
      <c r="E118" s="24"/>
      <c r="F118" s="74" t="s">
        <v>86</v>
      </c>
      <c r="G118" s="36">
        <f t="shared" ref="G118:O118" si="32">G119</f>
        <v>450000</v>
      </c>
      <c r="H118" s="36">
        <f t="shared" si="32"/>
        <v>0</v>
      </c>
      <c r="I118" s="36">
        <f t="shared" si="32"/>
        <v>0</v>
      </c>
      <c r="J118" s="36">
        <f t="shared" si="32"/>
        <v>0</v>
      </c>
      <c r="K118" s="36">
        <f t="shared" si="32"/>
        <v>0</v>
      </c>
      <c r="L118" s="36">
        <f t="shared" si="32"/>
        <v>0</v>
      </c>
      <c r="M118" s="36">
        <f t="shared" si="32"/>
        <v>0</v>
      </c>
      <c r="N118" s="85">
        <f t="shared" si="32"/>
        <v>0</v>
      </c>
      <c r="O118" s="82">
        <f t="shared" si="32"/>
        <v>450000</v>
      </c>
      <c r="P118" s="87"/>
    </row>
    <row r="119" spans="1:16" ht="15.75" x14ac:dyDescent="0.25">
      <c r="A119" s="19">
        <v>2</v>
      </c>
      <c r="B119" s="19">
        <v>3</v>
      </c>
      <c r="C119" s="19">
        <v>2</v>
      </c>
      <c r="D119" s="19">
        <v>3</v>
      </c>
      <c r="E119" s="24"/>
      <c r="F119" s="75" t="s">
        <v>87</v>
      </c>
      <c r="G119" s="33">
        <v>450000</v>
      </c>
      <c r="H119" s="35">
        <v>0</v>
      </c>
      <c r="I119" s="35">
        <v>0</v>
      </c>
      <c r="J119" s="35"/>
      <c r="K119" s="35"/>
      <c r="L119" s="35"/>
      <c r="M119" s="35"/>
      <c r="N119" s="83">
        <f>+H119+I119+J119+K119+L119</f>
        <v>0</v>
      </c>
      <c r="O119" s="88">
        <f>+G119-N119</f>
        <v>450000</v>
      </c>
      <c r="P119" s="4"/>
    </row>
    <row r="120" spans="1:16" ht="15.75" x14ac:dyDescent="0.25">
      <c r="A120" s="19"/>
      <c r="B120" s="19"/>
      <c r="C120" s="19"/>
      <c r="D120" s="19"/>
      <c r="E120" s="24"/>
      <c r="F120" s="74"/>
      <c r="G120" s="34"/>
      <c r="H120" s="31"/>
      <c r="I120" s="31"/>
      <c r="J120" s="31"/>
      <c r="K120" s="31"/>
      <c r="L120" s="31"/>
      <c r="M120" s="31"/>
      <c r="N120" s="79"/>
      <c r="O120" s="80"/>
      <c r="P120" s="4"/>
    </row>
    <row r="121" spans="1:16" ht="32.25" thickBot="1" x14ac:dyDescent="0.3">
      <c r="A121" s="19">
        <v>2</v>
      </c>
      <c r="B121" s="40">
        <v>3</v>
      </c>
      <c r="C121" s="40">
        <v>3</v>
      </c>
      <c r="D121" s="24"/>
      <c r="E121" s="24"/>
      <c r="F121" s="74" t="s">
        <v>88</v>
      </c>
      <c r="G121" s="25">
        <f t="shared" ref="G121:N121" si="33">G122+G123+G124+G125</f>
        <v>101500</v>
      </c>
      <c r="H121" s="32">
        <f t="shared" si="33"/>
        <v>0</v>
      </c>
      <c r="I121" s="32">
        <f t="shared" si="33"/>
        <v>0</v>
      </c>
      <c r="J121" s="32">
        <f t="shared" si="33"/>
        <v>0</v>
      </c>
      <c r="K121" s="32">
        <f t="shared" si="33"/>
        <v>0</v>
      </c>
      <c r="L121" s="32">
        <f t="shared" si="33"/>
        <v>0</v>
      </c>
      <c r="M121" s="32">
        <f t="shared" si="33"/>
        <v>0</v>
      </c>
      <c r="N121" s="137">
        <f t="shared" si="33"/>
        <v>0</v>
      </c>
      <c r="O121" s="89">
        <f>O122+O123+O124+O125</f>
        <v>101500</v>
      </c>
      <c r="P121" s="4"/>
    </row>
    <row r="122" spans="1:16" ht="15.75" x14ac:dyDescent="0.25">
      <c r="A122" s="19">
        <v>2</v>
      </c>
      <c r="B122" s="19">
        <v>3</v>
      </c>
      <c r="C122" s="19">
        <v>3</v>
      </c>
      <c r="D122" s="19">
        <v>1</v>
      </c>
      <c r="E122" s="19"/>
      <c r="F122" s="75" t="s">
        <v>89</v>
      </c>
      <c r="G122" s="33">
        <v>68000</v>
      </c>
      <c r="H122" s="35"/>
      <c r="I122" s="35"/>
      <c r="J122" s="35"/>
      <c r="K122" s="35"/>
      <c r="L122" s="35"/>
      <c r="M122" s="35"/>
      <c r="N122" s="83">
        <f>+H122+I122+J122+K122+L122</f>
        <v>0</v>
      </c>
      <c r="O122" s="88">
        <f>+G122-N122</f>
        <v>68000</v>
      </c>
      <c r="P122" s="4"/>
    </row>
    <row r="123" spans="1:16" ht="31.5" x14ac:dyDescent="0.25">
      <c r="A123" s="19">
        <v>2</v>
      </c>
      <c r="B123" s="19">
        <v>3</v>
      </c>
      <c r="C123" s="19">
        <v>3</v>
      </c>
      <c r="D123" s="19">
        <v>2</v>
      </c>
      <c r="E123" s="19"/>
      <c r="F123" s="75" t="s">
        <v>90</v>
      </c>
      <c r="G123" s="34">
        <v>23000</v>
      </c>
      <c r="H123" s="36">
        <v>0</v>
      </c>
      <c r="I123" s="36">
        <v>0</v>
      </c>
      <c r="J123" s="36"/>
      <c r="K123" s="36"/>
      <c r="L123" s="36"/>
      <c r="M123" s="36"/>
      <c r="N123" s="85">
        <f>+H123+I123+J123+K123</f>
        <v>0</v>
      </c>
      <c r="O123" s="82">
        <f>+G123-N123</f>
        <v>23000</v>
      </c>
      <c r="P123" s="4"/>
    </row>
    <row r="124" spans="1:16" s="6" customFormat="1" ht="31.5" x14ac:dyDescent="0.25">
      <c r="A124" s="19">
        <v>2</v>
      </c>
      <c r="B124" s="19">
        <v>3</v>
      </c>
      <c r="C124" s="19">
        <v>3</v>
      </c>
      <c r="D124" s="19">
        <v>3</v>
      </c>
      <c r="E124" s="19"/>
      <c r="F124" s="75" t="s">
        <v>91</v>
      </c>
      <c r="G124" s="34">
        <v>0</v>
      </c>
      <c r="H124" s="36">
        <v>0</v>
      </c>
      <c r="I124" s="36">
        <v>0</v>
      </c>
      <c r="J124" s="36"/>
      <c r="K124" s="36"/>
      <c r="L124" s="36"/>
      <c r="M124" s="36"/>
      <c r="N124" s="85">
        <f t="shared" ref="N124:N125" si="34">+H124+I124+J124+K124</f>
        <v>0</v>
      </c>
      <c r="O124" s="82">
        <f>+G124-N124</f>
        <v>0</v>
      </c>
      <c r="P124" s="92"/>
    </row>
    <row r="125" spans="1:16" s="6" customFormat="1" ht="31.5" x14ac:dyDescent="0.25">
      <c r="A125" s="19">
        <v>2</v>
      </c>
      <c r="B125" s="19">
        <v>3</v>
      </c>
      <c r="C125" s="19">
        <v>3</v>
      </c>
      <c r="D125" s="19">
        <v>4</v>
      </c>
      <c r="E125" s="19"/>
      <c r="F125" s="75" t="s">
        <v>92</v>
      </c>
      <c r="G125" s="34">
        <v>10500</v>
      </c>
      <c r="H125" s="36"/>
      <c r="I125" s="36"/>
      <c r="J125" s="36"/>
      <c r="K125" s="36"/>
      <c r="L125" s="36"/>
      <c r="M125" s="36"/>
      <c r="N125" s="85">
        <f t="shared" si="34"/>
        <v>0</v>
      </c>
      <c r="O125" s="82">
        <f>+G125-N125</f>
        <v>10500</v>
      </c>
      <c r="P125" s="92"/>
    </row>
    <row r="126" spans="1:16" s="7" customFormat="1" ht="15.75" x14ac:dyDescent="0.25">
      <c r="A126" s="19"/>
      <c r="B126" s="19"/>
      <c r="C126" s="19"/>
      <c r="D126" s="19"/>
      <c r="E126" s="19"/>
      <c r="F126" s="75"/>
      <c r="G126" s="34"/>
      <c r="H126" s="36"/>
      <c r="I126" s="36"/>
      <c r="J126" s="36"/>
      <c r="K126" s="36"/>
      <c r="L126" s="36"/>
      <c r="M126" s="36"/>
      <c r="N126" s="85"/>
      <c r="O126" s="82"/>
      <c r="P126" s="93"/>
    </row>
    <row r="127" spans="1:16" ht="48" thickBot="1" x14ac:dyDescent="0.3">
      <c r="A127" s="24">
        <v>2</v>
      </c>
      <c r="B127" s="24">
        <v>3</v>
      </c>
      <c r="C127" s="24">
        <v>7</v>
      </c>
      <c r="D127" s="24"/>
      <c r="E127" s="24"/>
      <c r="F127" s="74" t="s">
        <v>93</v>
      </c>
      <c r="G127" s="25">
        <f t="shared" ref="G127:N128" si="35">G128</f>
        <v>360000</v>
      </c>
      <c r="H127" s="41">
        <f t="shared" si="35"/>
        <v>200000</v>
      </c>
      <c r="I127" s="41">
        <f t="shared" si="35"/>
        <v>0</v>
      </c>
      <c r="J127" s="41">
        <f t="shared" si="35"/>
        <v>0</v>
      </c>
      <c r="K127" s="41">
        <f t="shared" si="35"/>
        <v>0</v>
      </c>
      <c r="L127" s="41">
        <f t="shared" si="35"/>
        <v>0</v>
      </c>
      <c r="M127" s="41">
        <f t="shared" si="35"/>
        <v>0</v>
      </c>
      <c r="N127" s="138">
        <f t="shared" si="35"/>
        <v>200000</v>
      </c>
      <c r="O127" s="101">
        <f>O128</f>
        <v>160000</v>
      </c>
      <c r="P127" s="4"/>
    </row>
    <row r="128" spans="1:16" ht="32.25" thickBot="1" x14ac:dyDescent="0.3">
      <c r="A128" s="24">
        <v>2</v>
      </c>
      <c r="B128" s="24">
        <v>3</v>
      </c>
      <c r="C128" s="24">
        <v>7</v>
      </c>
      <c r="D128" s="24">
        <v>1</v>
      </c>
      <c r="E128" s="24"/>
      <c r="F128" s="74" t="s">
        <v>94</v>
      </c>
      <c r="G128" s="25">
        <f t="shared" si="35"/>
        <v>360000</v>
      </c>
      <c r="H128" s="28">
        <f t="shared" si="35"/>
        <v>200000</v>
      </c>
      <c r="I128" s="28">
        <f t="shared" si="35"/>
        <v>0</v>
      </c>
      <c r="J128" s="28">
        <f t="shared" si="35"/>
        <v>0</v>
      </c>
      <c r="K128" s="28">
        <f t="shared" si="35"/>
        <v>0</v>
      </c>
      <c r="L128" s="28">
        <f t="shared" si="35"/>
        <v>0</v>
      </c>
      <c r="M128" s="28">
        <f t="shared" si="35"/>
        <v>0</v>
      </c>
      <c r="N128" s="138">
        <f>N129</f>
        <v>200000</v>
      </c>
      <c r="O128" s="102">
        <f t="shared" ref="O128" si="36">O129</f>
        <v>160000</v>
      </c>
      <c r="P128" s="4"/>
    </row>
    <row r="129" spans="1:16" ht="15.75" x14ac:dyDescent="0.25">
      <c r="A129" s="43">
        <v>2</v>
      </c>
      <c r="B129" s="43">
        <v>3</v>
      </c>
      <c r="C129" s="43">
        <v>7</v>
      </c>
      <c r="D129" s="43">
        <v>1</v>
      </c>
      <c r="E129" s="43">
        <v>1</v>
      </c>
      <c r="F129" s="75" t="s">
        <v>95</v>
      </c>
      <c r="G129" s="46">
        <v>360000</v>
      </c>
      <c r="H129" s="35">
        <v>200000</v>
      </c>
      <c r="I129" s="35"/>
      <c r="J129" s="35"/>
      <c r="K129" s="35"/>
      <c r="L129" s="35"/>
      <c r="M129" s="35"/>
      <c r="N129" s="83">
        <f>+H129+I129+J129+K129+L129</f>
        <v>200000</v>
      </c>
      <c r="O129" s="88">
        <f>+G129-N129</f>
        <v>160000</v>
      </c>
      <c r="P129" s="4"/>
    </row>
    <row r="130" spans="1:16" ht="15.75" x14ac:dyDescent="0.25">
      <c r="A130" s="19"/>
      <c r="B130" s="19"/>
      <c r="C130" s="19"/>
      <c r="D130" s="19"/>
      <c r="E130" s="19"/>
      <c r="F130" s="75"/>
      <c r="G130" s="34"/>
      <c r="H130" s="36"/>
      <c r="I130" s="36"/>
      <c r="J130" s="36"/>
      <c r="K130" s="36"/>
      <c r="L130" s="36"/>
      <c r="M130" s="36"/>
      <c r="N130" s="85"/>
      <c r="O130" s="82"/>
      <c r="P130" s="4"/>
    </row>
    <row r="131" spans="1:16" ht="32.25" thickBot="1" x14ac:dyDescent="0.3">
      <c r="A131" s="19">
        <v>2</v>
      </c>
      <c r="B131" s="19">
        <v>3</v>
      </c>
      <c r="C131" s="19">
        <v>9</v>
      </c>
      <c r="D131" s="19"/>
      <c r="E131" s="24"/>
      <c r="F131" s="74" t="s">
        <v>96</v>
      </c>
      <c r="G131" s="48">
        <f t="shared" ref="G131:J131" si="37">SUM(G132:G136)</f>
        <v>1045000</v>
      </c>
      <c r="H131" s="48">
        <f t="shared" si="37"/>
        <v>113477.31999999999</v>
      </c>
      <c r="I131" s="48">
        <f t="shared" si="37"/>
        <v>37182.32</v>
      </c>
      <c r="J131" s="48">
        <f t="shared" si="37"/>
        <v>22314.080000000002</v>
      </c>
      <c r="K131" s="48">
        <f>SUM(K132:K136)</f>
        <v>77488.133000000002</v>
      </c>
      <c r="L131" s="48">
        <f>SUM(L132:L136)</f>
        <v>24989.08</v>
      </c>
      <c r="M131" s="48">
        <f>SUM(M132:M136)</f>
        <v>184373.25</v>
      </c>
      <c r="N131" s="139">
        <f t="shared" ref="N131" si="38">SUM(N132:N136)</f>
        <v>459824.18300000002</v>
      </c>
      <c r="O131" s="118">
        <f>SUM(O132:O136)</f>
        <v>585175.81700000004</v>
      </c>
      <c r="P131" s="4"/>
    </row>
    <row r="132" spans="1:16" ht="15.75" x14ac:dyDescent="0.25">
      <c r="A132" s="19">
        <v>2</v>
      </c>
      <c r="B132" s="19">
        <v>3</v>
      </c>
      <c r="C132" s="19">
        <v>9</v>
      </c>
      <c r="D132" s="19">
        <v>1</v>
      </c>
      <c r="E132" s="19"/>
      <c r="F132" s="75" t="s">
        <v>97</v>
      </c>
      <c r="G132" s="33">
        <v>15000</v>
      </c>
      <c r="H132" s="36"/>
      <c r="I132" s="36"/>
      <c r="J132" s="36"/>
      <c r="K132" s="36"/>
      <c r="L132" s="36"/>
      <c r="M132" s="36"/>
      <c r="N132" s="85">
        <f>+H132+I132+J132+K132</f>
        <v>0</v>
      </c>
      <c r="O132" s="82">
        <f t="shared" ref="O132:O137" si="39">+G132-N132</f>
        <v>15000</v>
      </c>
      <c r="P132" s="4"/>
    </row>
    <row r="133" spans="1:16" ht="47.25" x14ac:dyDescent="0.25">
      <c r="A133" s="19">
        <v>2</v>
      </c>
      <c r="B133" s="19">
        <v>3</v>
      </c>
      <c r="C133" s="19">
        <v>9</v>
      </c>
      <c r="D133" s="19">
        <v>2</v>
      </c>
      <c r="E133" s="19"/>
      <c r="F133" s="75" t="s">
        <v>98</v>
      </c>
      <c r="G133" s="34">
        <v>320000</v>
      </c>
      <c r="H133" s="36">
        <f>19926.13+80712</f>
        <v>100638.13</v>
      </c>
      <c r="I133" s="36">
        <f>3307.28+20414</f>
        <v>23721.279999999999</v>
      </c>
      <c r="J133" s="36">
        <v>2489.9699999999998</v>
      </c>
      <c r="K133" s="36">
        <v>10620</v>
      </c>
      <c r="L133" s="36">
        <v>18942.810000000001</v>
      </c>
      <c r="M133" s="36">
        <f>18942.81+1598+5782.16+138650</f>
        <v>164972.97</v>
      </c>
      <c r="N133" s="85">
        <f t="shared" ref="N133:N135" si="40">+H133+I133+J133+K133+L133+M133</f>
        <v>321385.16000000003</v>
      </c>
      <c r="O133" s="82">
        <f t="shared" si="39"/>
        <v>-1385.1600000000326</v>
      </c>
      <c r="P133" s="4"/>
    </row>
    <row r="134" spans="1:16" ht="31.5" x14ac:dyDescent="0.25">
      <c r="A134" s="19">
        <v>2</v>
      </c>
      <c r="B134" s="43">
        <v>3</v>
      </c>
      <c r="C134" s="43">
        <v>9</v>
      </c>
      <c r="D134" s="19">
        <v>5</v>
      </c>
      <c r="E134" s="19"/>
      <c r="F134" s="76" t="s">
        <v>99</v>
      </c>
      <c r="G134" s="34">
        <v>25000</v>
      </c>
      <c r="H134" s="36">
        <f>249.9+10394.28</f>
        <v>10644.18</v>
      </c>
      <c r="I134" s="36">
        <f>120.3+4271.26</f>
        <v>4391.5600000000004</v>
      </c>
      <c r="J134" s="36">
        <f>1499.75+1364+517.9+258.95</f>
        <v>3640.6</v>
      </c>
      <c r="K134" s="36">
        <f>1193.8+4551.88+12142.2</f>
        <v>17887.88</v>
      </c>
      <c r="L134" s="36"/>
      <c r="M134" s="36"/>
      <c r="N134" s="85">
        <f t="shared" si="40"/>
        <v>36564.22</v>
      </c>
      <c r="O134" s="82">
        <f t="shared" si="39"/>
        <v>-11564.220000000001</v>
      </c>
      <c r="P134" s="4"/>
    </row>
    <row r="135" spans="1:16" ht="31.5" x14ac:dyDescent="0.25">
      <c r="A135" s="19">
        <v>2</v>
      </c>
      <c r="B135" s="19">
        <v>3</v>
      </c>
      <c r="C135" s="19">
        <v>9</v>
      </c>
      <c r="D135" s="19">
        <v>8</v>
      </c>
      <c r="E135" s="19"/>
      <c r="F135" s="75" t="s">
        <v>100</v>
      </c>
      <c r="G135" s="34">
        <v>35000</v>
      </c>
      <c r="H135" s="36"/>
      <c r="I135" s="36">
        <v>813</v>
      </c>
      <c r="J135" s="36">
        <v>550</v>
      </c>
      <c r="K135" s="36">
        <v>616.41999999999996</v>
      </c>
      <c r="L135" s="36">
        <v>100</v>
      </c>
      <c r="M135" s="36">
        <v>4291.72</v>
      </c>
      <c r="N135" s="85">
        <f t="shared" si="40"/>
        <v>6371.14</v>
      </c>
      <c r="O135" s="82">
        <f t="shared" si="39"/>
        <v>28628.86</v>
      </c>
      <c r="P135" s="4"/>
    </row>
    <row r="136" spans="1:16" ht="31.5" x14ac:dyDescent="0.25">
      <c r="A136" s="19">
        <v>2</v>
      </c>
      <c r="B136" s="19">
        <v>3</v>
      </c>
      <c r="C136" s="19">
        <v>9</v>
      </c>
      <c r="D136" s="19">
        <v>9</v>
      </c>
      <c r="E136" s="19"/>
      <c r="F136" s="75" t="s">
        <v>101</v>
      </c>
      <c r="G136" s="34">
        <v>650000</v>
      </c>
      <c r="H136" s="36">
        <v>2195.0100000000002</v>
      </c>
      <c r="I136" s="36">
        <f>5422.7+1094.08+1739.7</f>
        <v>8256.48</v>
      </c>
      <c r="J136" s="36">
        <f>2419.94+13213.57</f>
        <v>15633.51</v>
      </c>
      <c r="K136" s="36">
        <f>37106.64+100+3000+3778.393+3138.8+1240</f>
        <v>48363.832999999999</v>
      </c>
      <c r="L136" s="36">
        <f>2800+3146.27</f>
        <v>5946.27</v>
      </c>
      <c r="M136" s="36">
        <v>15108.56</v>
      </c>
      <c r="N136" s="85">
        <f>+H136+I136+J136+K136+L136+M136</f>
        <v>95503.663</v>
      </c>
      <c r="O136" s="82">
        <f t="shared" si="39"/>
        <v>554496.33700000006</v>
      </c>
      <c r="P136" s="4"/>
    </row>
    <row r="137" spans="1:16" ht="15.75" x14ac:dyDescent="0.25">
      <c r="A137" s="19">
        <v>2</v>
      </c>
      <c r="B137" s="19">
        <v>3</v>
      </c>
      <c r="C137" s="19">
        <v>9</v>
      </c>
      <c r="D137" s="19">
        <v>9</v>
      </c>
      <c r="E137" s="19">
        <v>2</v>
      </c>
      <c r="F137" s="75" t="s">
        <v>102</v>
      </c>
      <c r="G137" s="34"/>
      <c r="H137" s="36">
        <v>0</v>
      </c>
      <c r="I137" s="36">
        <v>0</v>
      </c>
      <c r="J137" s="36" t="s">
        <v>134</v>
      </c>
      <c r="K137" s="36"/>
      <c r="L137" s="36"/>
      <c r="M137" s="36"/>
      <c r="N137" s="85">
        <f>SUM(H137:J137)+K137</f>
        <v>0</v>
      </c>
      <c r="O137" s="82">
        <f t="shared" si="39"/>
        <v>0</v>
      </c>
      <c r="P137" s="4"/>
    </row>
    <row r="138" spans="1:16" ht="15.75" x14ac:dyDescent="0.25">
      <c r="A138" s="19"/>
      <c r="B138" s="19"/>
      <c r="C138" s="19"/>
      <c r="D138" s="19"/>
      <c r="E138" s="19"/>
      <c r="F138" s="75"/>
      <c r="G138" s="34"/>
      <c r="H138" s="36"/>
      <c r="I138" s="36"/>
      <c r="J138" s="36"/>
      <c r="K138" s="36"/>
      <c r="L138" s="36"/>
      <c r="M138" s="36"/>
      <c r="N138" s="85">
        <f>+H138+I138+J138+K138</f>
        <v>0</v>
      </c>
      <c r="O138" s="82"/>
      <c r="P138" s="4"/>
    </row>
    <row r="139" spans="1:16" ht="48" thickBot="1" x14ac:dyDescent="0.3">
      <c r="A139" s="19">
        <v>2</v>
      </c>
      <c r="B139" s="19">
        <v>6</v>
      </c>
      <c r="C139" s="19"/>
      <c r="D139" s="19"/>
      <c r="E139" s="24"/>
      <c r="F139" s="74" t="s">
        <v>103</v>
      </c>
      <c r="G139" s="26">
        <f>G140+G148+G152</f>
        <v>0</v>
      </c>
      <c r="H139" s="26">
        <f>H140+H148+H152</f>
        <v>0</v>
      </c>
      <c r="I139" s="26">
        <f t="shared" ref="I139:O139" si="41">I140+I148+I152</f>
        <v>82491.72</v>
      </c>
      <c r="J139" s="26">
        <f t="shared" si="41"/>
        <v>0</v>
      </c>
      <c r="K139" s="26">
        <f t="shared" si="41"/>
        <v>0</v>
      </c>
      <c r="L139" s="26">
        <f t="shared" si="41"/>
        <v>0</v>
      </c>
      <c r="M139" s="26">
        <f t="shared" si="41"/>
        <v>94447.57</v>
      </c>
      <c r="N139" s="26">
        <f t="shared" si="41"/>
        <v>176939.29</v>
      </c>
      <c r="O139" s="86">
        <f t="shared" si="41"/>
        <v>-176939.29</v>
      </c>
      <c r="P139" s="4"/>
    </row>
    <row r="140" spans="1:16" ht="16.5" thickBot="1" x14ac:dyDescent="0.3">
      <c r="A140" s="19">
        <v>2</v>
      </c>
      <c r="B140" s="19">
        <v>6</v>
      </c>
      <c r="C140" s="19">
        <v>1</v>
      </c>
      <c r="D140" s="19"/>
      <c r="E140" s="43"/>
      <c r="F140" s="74" t="s">
        <v>104</v>
      </c>
      <c r="G140" s="27">
        <f>G142+G143+G144+G146+G147</f>
        <v>0</v>
      </c>
      <c r="H140" s="62">
        <f>+H141+H142+H143+H144+H145+H146</f>
        <v>0</v>
      </c>
      <c r="I140" s="62">
        <f t="shared" ref="I140:O140" si="42">+I141+I142+I143+I144+I145+I146</f>
        <v>82491.72</v>
      </c>
      <c r="J140" s="62">
        <f t="shared" si="42"/>
        <v>0</v>
      </c>
      <c r="K140" s="62">
        <f t="shared" si="42"/>
        <v>0</v>
      </c>
      <c r="L140" s="62">
        <f t="shared" si="42"/>
        <v>0</v>
      </c>
      <c r="M140" s="62">
        <f t="shared" si="42"/>
        <v>94447.57</v>
      </c>
      <c r="N140" s="62">
        <f>+N141+N142+N143+N144+N145+N146</f>
        <v>176939.29</v>
      </c>
      <c r="O140" s="119">
        <f t="shared" si="42"/>
        <v>-176939.29</v>
      </c>
      <c r="P140" s="4"/>
    </row>
    <row r="141" spans="1:16" ht="15.75" x14ac:dyDescent="0.25">
      <c r="A141" s="19">
        <v>2</v>
      </c>
      <c r="B141" s="19">
        <v>6</v>
      </c>
      <c r="C141" s="19">
        <v>8</v>
      </c>
      <c r="D141" s="19">
        <v>8</v>
      </c>
      <c r="E141" s="43"/>
      <c r="F141" s="120" t="s">
        <v>105</v>
      </c>
      <c r="G141" s="34">
        <f>G143+G144+G145+G147+G148</f>
        <v>0</v>
      </c>
      <c r="H141" s="46">
        <f>H143+H144+H145+H147+H148</f>
        <v>0</v>
      </c>
      <c r="I141" s="46">
        <v>74106.720000000001</v>
      </c>
      <c r="J141" s="46"/>
      <c r="K141" s="46"/>
      <c r="L141" s="46"/>
      <c r="M141" s="46"/>
      <c r="N141" s="85">
        <f t="shared" ref="N141:N146" si="43">+H141+I141+J141+K141</f>
        <v>74106.720000000001</v>
      </c>
      <c r="O141" s="113">
        <f t="shared" ref="O141:O146" si="44">+G141-N141</f>
        <v>-74106.720000000001</v>
      </c>
      <c r="P141" s="4"/>
    </row>
    <row r="142" spans="1:16" ht="31.5" x14ac:dyDescent="0.25">
      <c r="A142" s="19">
        <v>2</v>
      </c>
      <c r="B142" s="19">
        <v>6</v>
      </c>
      <c r="C142" s="19">
        <v>1</v>
      </c>
      <c r="D142" s="19">
        <v>1</v>
      </c>
      <c r="E142" s="43"/>
      <c r="F142" s="75" t="s">
        <v>106</v>
      </c>
      <c r="G142" s="34"/>
      <c r="H142" s="36"/>
      <c r="I142" s="36"/>
      <c r="J142" s="36"/>
      <c r="K142" s="36"/>
      <c r="L142" s="36"/>
      <c r="M142" s="36"/>
      <c r="N142" s="85">
        <f t="shared" si="43"/>
        <v>0</v>
      </c>
      <c r="O142" s="82">
        <f t="shared" si="44"/>
        <v>0</v>
      </c>
      <c r="P142" s="4"/>
    </row>
    <row r="143" spans="1:16" ht="15.75" x14ac:dyDescent="0.25">
      <c r="A143" s="19">
        <v>2</v>
      </c>
      <c r="B143" s="19">
        <v>6</v>
      </c>
      <c r="C143" s="19">
        <v>1</v>
      </c>
      <c r="D143" s="19">
        <v>4</v>
      </c>
      <c r="E143" s="43"/>
      <c r="F143" s="75" t="s">
        <v>107</v>
      </c>
      <c r="G143" s="34"/>
      <c r="H143" s="36"/>
      <c r="I143" s="36"/>
      <c r="J143" s="36"/>
      <c r="K143" s="36"/>
      <c r="L143" s="36"/>
      <c r="M143" s="36">
        <f>59580.56+34867.01</f>
        <v>94447.57</v>
      </c>
      <c r="N143" s="85">
        <f>+H143+I143+J143+K143+L143+M143</f>
        <v>94447.57</v>
      </c>
      <c r="O143" s="82">
        <f t="shared" si="44"/>
        <v>-94447.57</v>
      </c>
      <c r="P143" s="4"/>
    </row>
    <row r="144" spans="1:16" ht="24.75" customHeight="1" x14ac:dyDescent="0.25">
      <c r="A144" s="19">
        <v>2</v>
      </c>
      <c r="B144" s="19">
        <v>6</v>
      </c>
      <c r="C144" s="19">
        <v>1</v>
      </c>
      <c r="D144" s="19">
        <v>7</v>
      </c>
      <c r="E144" s="43"/>
      <c r="F144" s="75" t="s">
        <v>108</v>
      </c>
      <c r="G144" s="34"/>
      <c r="H144" s="36">
        <v>0</v>
      </c>
      <c r="I144" s="36">
        <v>0</v>
      </c>
      <c r="J144" s="36"/>
      <c r="K144" s="36"/>
      <c r="L144" s="36"/>
      <c r="M144" s="36"/>
      <c r="N144" s="85">
        <f t="shared" si="43"/>
        <v>0</v>
      </c>
      <c r="O144" s="82">
        <f t="shared" si="44"/>
        <v>0</v>
      </c>
      <c r="P144" s="4"/>
    </row>
    <row r="145" spans="1:16" ht="15.75" x14ac:dyDescent="0.25">
      <c r="A145" s="19">
        <v>2</v>
      </c>
      <c r="B145" s="19">
        <v>6</v>
      </c>
      <c r="C145" s="19">
        <v>1</v>
      </c>
      <c r="D145" s="19">
        <v>8</v>
      </c>
      <c r="E145" s="43"/>
      <c r="F145" s="75" t="s">
        <v>109</v>
      </c>
      <c r="G145" s="34"/>
      <c r="H145" s="36"/>
      <c r="I145" s="36"/>
      <c r="J145" s="36"/>
      <c r="K145" s="36"/>
      <c r="L145" s="36"/>
      <c r="M145" s="36"/>
      <c r="N145" s="85">
        <f t="shared" si="43"/>
        <v>0</v>
      </c>
      <c r="O145" s="82">
        <f t="shared" si="44"/>
        <v>0</v>
      </c>
      <c r="P145" s="4"/>
    </row>
    <row r="146" spans="1:16" ht="31.5" x14ac:dyDescent="0.25">
      <c r="A146" s="19">
        <v>2</v>
      </c>
      <c r="B146" s="19">
        <v>6</v>
      </c>
      <c r="C146" s="19">
        <v>1</v>
      </c>
      <c r="D146" s="19">
        <v>9</v>
      </c>
      <c r="E146" s="43"/>
      <c r="F146" s="75" t="s">
        <v>110</v>
      </c>
      <c r="G146" s="34"/>
      <c r="H146" s="36"/>
      <c r="I146" s="36">
        <v>8385</v>
      </c>
      <c r="J146" s="36"/>
      <c r="K146" s="36"/>
      <c r="L146" s="36"/>
      <c r="M146" s="36"/>
      <c r="N146" s="85">
        <f t="shared" si="43"/>
        <v>8385</v>
      </c>
      <c r="O146" s="82">
        <f t="shared" si="44"/>
        <v>-8385</v>
      </c>
      <c r="P146" s="4"/>
    </row>
    <row r="147" spans="1:16" ht="15.75" x14ac:dyDescent="0.25">
      <c r="A147" s="19"/>
      <c r="B147" s="19"/>
      <c r="C147" s="19"/>
      <c r="D147" s="19"/>
      <c r="E147" s="24"/>
      <c r="F147" s="74"/>
      <c r="G147" s="47"/>
      <c r="H147" s="26"/>
      <c r="I147" s="26"/>
      <c r="J147" s="26"/>
      <c r="K147" s="26"/>
      <c r="L147" s="26"/>
      <c r="M147" s="26"/>
      <c r="N147" s="85">
        <f>+H147+I147+J147</f>
        <v>0</v>
      </c>
      <c r="O147" s="86"/>
      <c r="P147" s="4"/>
    </row>
    <row r="148" spans="1:16" ht="48" thickBot="1" x14ac:dyDescent="0.3">
      <c r="A148" s="19">
        <v>2</v>
      </c>
      <c r="B148" s="19">
        <v>6</v>
      </c>
      <c r="C148" s="19">
        <v>2</v>
      </c>
      <c r="D148" s="19"/>
      <c r="E148" s="24"/>
      <c r="F148" s="74" t="s">
        <v>111</v>
      </c>
      <c r="G148" s="25">
        <f>G149+G150</f>
        <v>0</v>
      </c>
      <c r="H148" s="41"/>
      <c r="I148" s="25">
        <f t="shared" ref="I148:O148" si="45">I149+I150</f>
        <v>0</v>
      </c>
      <c r="J148" s="25">
        <f t="shared" si="45"/>
        <v>0</v>
      </c>
      <c r="K148" s="25">
        <f t="shared" si="45"/>
        <v>0</v>
      </c>
      <c r="L148" s="25">
        <f t="shared" si="45"/>
        <v>0</v>
      </c>
      <c r="M148" s="25">
        <f t="shared" si="45"/>
        <v>0</v>
      </c>
      <c r="N148" s="25">
        <f t="shared" si="45"/>
        <v>0</v>
      </c>
      <c r="O148" s="101">
        <f t="shared" si="45"/>
        <v>0</v>
      </c>
      <c r="P148" s="4"/>
    </row>
    <row r="149" spans="1:16" ht="31.5" x14ac:dyDescent="0.25">
      <c r="A149" s="19">
        <v>2</v>
      </c>
      <c r="B149" s="19">
        <v>6</v>
      </c>
      <c r="C149" s="19">
        <v>2</v>
      </c>
      <c r="D149" s="19">
        <v>1</v>
      </c>
      <c r="E149" s="43"/>
      <c r="F149" s="75" t="s">
        <v>112</v>
      </c>
      <c r="G149" s="34"/>
      <c r="H149" s="36">
        <v>0</v>
      </c>
      <c r="I149" s="36">
        <v>0</v>
      </c>
      <c r="J149" s="36"/>
      <c r="K149" s="36"/>
      <c r="L149" s="36"/>
      <c r="M149" s="36"/>
      <c r="N149" s="85">
        <f>+H149+I149+J149+K149</f>
        <v>0</v>
      </c>
      <c r="O149" s="88">
        <f>+G149-N149</f>
        <v>0</v>
      </c>
      <c r="P149" s="4"/>
    </row>
    <row r="150" spans="1:16" ht="31.5" customHeight="1" x14ac:dyDescent="0.25">
      <c r="A150" s="19">
        <v>2</v>
      </c>
      <c r="B150" s="19">
        <v>6</v>
      </c>
      <c r="C150" s="19">
        <v>2</v>
      </c>
      <c r="D150" s="19">
        <v>3</v>
      </c>
      <c r="E150" s="43"/>
      <c r="F150" s="75" t="s">
        <v>113</v>
      </c>
      <c r="G150" s="34"/>
      <c r="H150" s="36">
        <f>G150*12</f>
        <v>0</v>
      </c>
      <c r="I150" s="36">
        <f t="shared" ref="I150:J150" si="46">H150*12</f>
        <v>0</v>
      </c>
      <c r="J150" s="36">
        <f t="shared" si="46"/>
        <v>0</v>
      </c>
      <c r="K150" s="36">
        <f>J150*12</f>
        <v>0</v>
      </c>
      <c r="L150" s="36">
        <f>K150*12</f>
        <v>0</v>
      </c>
      <c r="M150" s="36"/>
      <c r="N150" s="85">
        <f>+H150+I150+J150+K150</f>
        <v>0</v>
      </c>
      <c r="O150" s="82">
        <f>+G150-N150</f>
        <v>0</v>
      </c>
      <c r="P150" s="4"/>
    </row>
    <row r="151" spans="1:16" ht="15.75" x14ac:dyDescent="0.25">
      <c r="A151" s="19"/>
      <c r="B151" s="19"/>
      <c r="C151" s="19"/>
      <c r="D151" s="19"/>
      <c r="E151" s="24"/>
      <c r="F151" s="74"/>
      <c r="G151" s="47"/>
      <c r="H151" s="26"/>
      <c r="I151" s="26"/>
      <c r="J151" s="26"/>
      <c r="K151" s="26"/>
      <c r="L151" s="26"/>
      <c r="M151" s="26"/>
      <c r="N151" s="134"/>
      <c r="O151" s="82">
        <f>+G151-N151</f>
        <v>0</v>
      </c>
      <c r="P151" s="4"/>
    </row>
    <row r="152" spans="1:16" ht="48" thickBot="1" x14ac:dyDescent="0.3">
      <c r="A152" s="19">
        <v>2</v>
      </c>
      <c r="B152" s="19">
        <v>6</v>
      </c>
      <c r="C152" s="19">
        <v>4</v>
      </c>
      <c r="D152" s="19"/>
      <c r="E152" s="24"/>
      <c r="F152" s="74" t="s">
        <v>114</v>
      </c>
      <c r="G152" s="47">
        <f>G154+G155+G153</f>
        <v>0</v>
      </c>
      <c r="H152" s="36">
        <f>H153+H154</f>
        <v>0</v>
      </c>
      <c r="I152" s="36">
        <f t="shared" ref="I152:O152" si="47">I153+I154</f>
        <v>0</v>
      </c>
      <c r="J152" s="36">
        <f t="shared" si="47"/>
        <v>0</v>
      </c>
      <c r="K152" s="36">
        <f t="shared" si="47"/>
        <v>0</v>
      </c>
      <c r="L152" s="36">
        <f t="shared" si="47"/>
        <v>0</v>
      </c>
      <c r="M152" s="36">
        <f t="shared" si="47"/>
        <v>0</v>
      </c>
      <c r="N152" s="36">
        <f t="shared" si="47"/>
        <v>0</v>
      </c>
      <c r="O152" s="82">
        <f t="shared" si="47"/>
        <v>0</v>
      </c>
      <c r="P152" s="4"/>
    </row>
    <row r="153" spans="1:16" ht="47.25" x14ac:dyDescent="0.25">
      <c r="A153" s="19">
        <v>2</v>
      </c>
      <c r="B153" s="19">
        <v>6</v>
      </c>
      <c r="C153" s="19">
        <v>4</v>
      </c>
      <c r="D153" s="19"/>
      <c r="E153" s="24"/>
      <c r="F153" s="75" t="s">
        <v>114</v>
      </c>
      <c r="G153" s="29"/>
      <c r="H153" s="35">
        <v>0</v>
      </c>
      <c r="I153" s="35">
        <v>0</v>
      </c>
      <c r="J153" s="35"/>
      <c r="K153" s="35"/>
      <c r="L153" s="35"/>
      <c r="M153" s="35"/>
      <c r="N153" s="83">
        <f>+H153+I153+J153+K153</f>
        <v>0</v>
      </c>
      <c r="O153" s="88">
        <f>+G153-N153</f>
        <v>0</v>
      </c>
      <c r="P153" s="4"/>
    </row>
    <row r="154" spans="1:16" ht="15.75" x14ac:dyDescent="0.25">
      <c r="A154" s="19">
        <v>2</v>
      </c>
      <c r="B154" s="19">
        <v>6</v>
      </c>
      <c r="C154" s="19">
        <v>4</v>
      </c>
      <c r="D154" s="19">
        <v>1</v>
      </c>
      <c r="E154" s="19"/>
      <c r="F154" s="75" t="s">
        <v>115</v>
      </c>
      <c r="G154" s="34"/>
      <c r="H154" s="36">
        <v>0</v>
      </c>
      <c r="I154" s="36">
        <v>0</v>
      </c>
      <c r="J154" s="36"/>
      <c r="K154" s="36"/>
      <c r="L154" s="36"/>
      <c r="M154" s="36"/>
      <c r="N154" s="85">
        <f>+H154+I154+J154+K154</f>
        <v>0</v>
      </c>
      <c r="O154" s="82">
        <f>+G154-N154</f>
        <v>0</v>
      </c>
      <c r="P154" s="4"/>
    </row>
    <row r="155" spans="1:16" ht="15.75" x14ac:dyDescent="0.25">
      <c r="A155" s="19">
        <v>2</v>
      </c>
      <c r="B155" s="19">
        <v>6</v>
      </c>
      <c r="C155" s="19">
        <v>4</v>
      </c>
      <c r="D155" s="19">
        <v>7</v>
      </c>
      <c r="E155" s="19"/>
      <c r="F155" s="75" t="s">
        <v>116</v>
      </c>
      <c r="G155" s="34">
        <v>0</v>
      </c>
      <c r="H155" s="36">
        <v>0</v>
      </c>
      <c r="I155" s="36">
        <v>0</v>
      </c>
      <c r="J155" s="36"/>
      <c r="K155" s="36"/>
      <c r="L155" s="36"/>
      <c r="M155" s="36"/>
      <c r="N155" s="85">
        <f>+H155+I155+J155+K155</f>
        <v>0</v>
      </c>
      <c r="O155" s="82">
        <f>+G155-N155</f>
        <v>0</v>
      </c>
      <c r="P155" s="4"/>
    </row>
    <row r="156" spans="1:16" ht="16.5" thickBot="1" x14ac:dyDescent="0.3">
      <c r="A156" s="19"/>
      <c r="B156" s="19"/>
      <c r="C156" s="19"/>
      <c r="D156" s="18"/>
      <c r="E156" s="19"/>
      <c r="F156" s="75"/>
      <c r="G156" s="37"/>
      <c r="H156" s="41"/>
      <c r="I156" s="41"/>
      <c r="J156" s="41"/>
      <c r="K156" s="41"/>
      <c r="L156" s="41"/>
      <c r="M156" s="41"/>
      <c r="N156" s="91"/>
      <c r="O156" s="107"/>
      <c r="P156" s="4"/>
    </row>
    <row r="157" spans="1:16" ht="16.5" thickBot="1" x14ac:dyDescent="0.3">
      <c r="A157" s="50"/>
      <c r="B157" s="50"/>
      <c r="C157" s="51"/>
      <c r="D157" s="51"/>
      <c r="E157" s="51"/>
      <c r="F157" s="121" t="s">
        <v>117</v>
      </c>
      <c r="G157" s="25">
        <f t="shared" ref="G157:O157" si="48">G113+G51+G11</f>
        <v>90000000</v>
      </c>
      <c r="H157" s="25">
        <f t="shared" si="48"/>
        <v>4741918.99</v>
      </c>
      <c r="I157" s="25">
        <f t="shared" si="48"/>
        <v>5862321.1899999995</v>
      </c>
      <c r="J157" s="25">
        <f t="shared" si="48"/>
        <v>4642974.0999999996</v>
      </c>
      <c r="K157" s="25">
        <f t="shared" si="48"/>
        <v>6683140.1030000001</v>
      </c>
      <c r="L157" s="25">
        <f t="shared" si="48"/>
        <v>6778229.2199999997</v>
      </c>
      <c r="M157" s="25">
        <f t="shared" si="48"/>
        <v>5364441.5599999996</v>
      </c>
      <c r="N157" s="25">
        <f t="shared" si="48"/>
        <v>34073025.163000003</v>
      </c>
      <c r="O157" s="101">
        <f t="shared" si="48"/>
        <v>55926974.837000012</v>
      </c>
      <c r="P157" s="4"/>
    </row>
    <row r="158" spans="1:16" ht="15.75" x14ac:dyDescent="0.25">
      <c r="A158" s="64"/>
      <c r="B158" s="64"/>
      <c r="C158" s="65"/>
      <c r="D158" s="65"/>
      <c r="E158" s="65"/>
      <c r="F158" s="66"/>
      <c r="G158" s="67"/>
      <c r="H158" s="67"/>
      <c r="I158" s="67"/>
      <c r="J158" s="67"/>
      <c r="K158" s="67"/>
      <c r="L158" s="67"/>
      <c r="M158" s="67"/>
      <c r="N158" s="67"/>
      <c r="O158" s="67"/>
      <c r="P158" s="4"/>
    </row>
    <row r="159" spans="1:16" ht="15.75" x14ac:dyDescent="0.25">
      <c r="A159" s="64"/>
      <c r="B159" s="64"/>
      <c r="C159" s="65"/>
      <c r="D159" s="65"/>
      <c r="E159" s="65"/>
      <c r="F159" s="66"/>
      <c r="G159" s="67"/>
      <c r="H159" s="67"/>
      <c r="I159" s="67"/>
      <c r="J159" s="67"/>
      <c r="K159" s="67"/>
      <c r="L159" s="67"/>
      <c r="M159" s="67"/>
      <c r="N159" s="67"/>
      <c r="O159" s="67"/>
      <c r="P159" s="4"/>
    </row>
    <row r="160" spans="1:16" ht="16.5" x14ac:dyDescent="0.25">
      <c r="A160" s="64"/>
      <c r="B160" s="64"/>
      <c r="C160" s="65"/>
      <c r="D160" s="140"/>
      <c r="E160" s="140"/>
      <c r="F160" s="141"/>
      <c r="G160" s="142"/>
      <c r="H160" s="67"/>
      <c r="N160" s="94"/>
      <c r="P160" s="4"/>
    </row>
    <row r="161" spans="1:16" ht="18.75" thickBot="1" x14ac:dyDescent="0.3">
      <c r="A161" s="8"/>
      <c r="B161" s="8"/>
      <c r="C161" s="8"/>
      <c r="D161" s="143"/>
      <c r="E161" s="143"/>
      <c r="F161" s="52"/>
      <c r="G161" s="144"/>
      <c r="H161" s="53"/>
      <c r="I161" s="94"/>
      <c r="J161" s="94"/>
      <c r="K161" s="94"/>
      <c r="L161" s="94"/>
      <c r="M161" s="94"/>
      <c r="N161" s="94"/>
      <c r="P161" s="4"/>
    </row>
    <row r="162" spans="1:16" ht="18" x14ac:dyDescent="0.25">
      <c r="A162" s="8"/>
      <c r="B162" s="8"/>
      <c r="C162" s="8"/>
      <c r="D162" s="143"/>
      <c r="E162" s="143"/>
      <c r="F162" s="54" t="s">
        <v>118</v>
      </c>
      <c r="G162" s="144"/>
      <c r="H162" s="53"/>
      <c r="I162" s="94"/>
      <c r="J162" s="94"/>
      <c r="K162" s="94"/>
      <c r="L162" s="94"/>
      <c r="M162" s="94"/>
      <c r="N162" s="95"/>
      <c r="O162" s="94"/>
      <c r="P162" s="4"/>
    </row>
    <row r="163" spans="1:16" ht="18" x14ac:dyDescent="0.25">
      <c r="A163" s="8"/>
      <c r="B163" s="8"/>
      <c r="C163" s="8"/>
      <c r="D163" s="143"/>
      <c r="E163" s="143"/>
      <c r="F163" s="52" t="s">
        <v>142</v>
      </c>
      <c r="G163" s="145"/>
      <c r="H163" s="53"/>
      <c r="K163" s="94"/>
      <c r="L163" s="94"/>
      <c r="M163" s="94"/>
      <c r="P163" s="4"/>
    </row>
    <row r="164" spans="1:16" ht="18" x14ac:dyDescent="0.25">
      <c r="A164" s="8"/>
      <c r="B164" s="8"/>
      <c r="C164" s="8"/>
      <c r="D164" s="143"/>
      <c r="E164" s="143"/>
      <c r="F164" s="52"/>
      <c r="G164" s="145"/>
      <c r="H164" s="53"/>
      <c r="L164" s="94"/>
      <c r="N164" s="95"/>
      <c r="O164" s="94"/>
      <c r="P164" s="4"/>
    </row>
    <row r="165" spans="1:16" ht="18" x14ac:dyDescent="0.25">
      <c r="A165" s="8"/>
      <c r="B165" s="8"/>
      <c r="C165" s="8"/>
      <c r="D165" s="143"/>
      <c r="E165" s="143"/>
      <c r="F165" s="52"/>
      <c r="G165" s="145"/>
      <c r="H165" s="4"/>
      <c r="I165" s="94"/>
      <c r="J165" s="94"/>
      <c r="K165" s="94"/>
      <c r="L165" s="94"/>
      <c r="M165" s="94"/>
      <c r="N165" s="94"/>
      <c r="P165" s="4"/>
    </row>
    <row r="166" spans="1:16" ht="18" x14ac:dyDescent="0.25">
      <c r="A166" s="8"/>
      <c r="B166" s="8"/>
      <c r="C166" s="8"/>
      <c r="D166" s="143"/>
      <c r="E166" s="143"/>
      <c r="F166" s="52"/>
      <c r="G166" s="145"/>
      <c r="H166" s="4"/>
      <c r="I166" s="94"/>
      <c r="J166" s="94"/>
      <c r="K166" s="94"/>
      <c r="L166" s="94"/>
      <c r="M166" s="94"/>
      <c r="P166" s="4"/>
    </row>
    <row r="167" spans="1:16" ht="18.75" thickBot="1" x14ac:dyDescent="0.3">
      <c r="A167" s="8"/>
      <c r="B167" s="8"/>
      <c r="C167" s="8"/>
      <c r="D167" s="143"/>
      <c r="E167" s="143"/>
      <c r="F167" s="55"/>
      <c r="G167" s="145"/>
      <c r="H167" s="4"/>
      <c r="K167" s="94"/>
      <c r="L167" s="94"/>
      <c r="M167" s="94"/>
      <c r="P167" s="4"/>
    </row>
    <row r="168" spans="1:16" ht="18" x14ac:dyDescent="0.25">
      <c r="A168" s="8"/>
      <c r="B168" s="8"/>
      <c r="C168" s="8"/>
      <c r="D168" s="143"/>
      <c r="E168" s="143"/>
      <c r="F168" s="52" t="s">
        <v>127</v>
      </c>
      <c r="G168" s="146"/>
      <c r="H168" s="4"/>
      <c r="P168" s="4"/>
    </row>
    <row r="169" spans="1:16" ht="18" x14ac:dyDescent="0.25">
      <c r="A169" s="8"/>
      <c r="B169" s="8"/>
      <c r="C169" s="8"/>
      <c r="D169" s="143"/>
      <c r="E169" s="143"/>
      <c r="F169" s="52" t="s">
        <v>119</v>
      </c>
      <c r="G169" s="146"/>
      <c r="H169" s="4"/>
      <c r="P169" s="4"/>
    </row>
    <row r="170" spans="1:16" ht="18" x14ac:dyDescent="0.25">
      <c r="A170" s="8"/>
      <c r="B170" s="8"/>
      <c r="C170" s="8"/>
      <c r="D170" s="143"/>
      <c r="E170" s="143"/>
      <c r="F170" s="52"/>
      <c r="G170" s="147"/>
      <c r="H170" s="4"/>
      <c r="P170" s="4"/>
    </row>
    <row r="171" spans="1:16" ht="18" x14ac:dyDescent="0.25">
      <c r="A171" s="8"/>
      <c r="B171" s="8"/>
      <c r="C171" s="8"/>
      <c r="D171" s="143"/>
      <c r="E171" s="143"/>
      <c r="F171" s="52"/>
      <c r="G171" s="147"/>
      <c r="H171" s="4"/>
      <c r="P171" s="4"/>
    </row>
    <row r="172" spans="1:16" ht="18.75" thickBot="1" x14ac:dyDescent="0.3">
      <c r="A172" s="8"/>
      <c r="B172" s="8"/>
      <c r="C172" s="8"/>
      <c r="D172" s="143"/>
      <c r="E172" s="143"/>
      <c r="F172" s="55"/>
      <c r="G172" s="52"/>
      <c r="H172" s="56"/>
      <c r="P172" s="4"/>
    </row>
    <row r="173" spans="1:16" ht="18" x14ac:dyDescent="0.25">
      <c r="A173" s="8"/>
      <c r="B173" s="8"/>
      <c r="C173" s="8"/>
      <c r="D173" s="52"/>
      <c r="E173" s="143"/>
      <c r="F173" s="52" t="s">
        <v>120</v>
      </c>
      <c r="G173" s="52"/>
      <c r="H173" s="56"/>
      <c r="P173" s="4"/>
    </row>
    <row r="174" spans="1:16" ht="18" x14ac:dyDescent="0.25">
      <c r="A174" s="8"/>
      <c r="B174" s="8"/>
      <c r="C174" s="8"/>
      <c r="D174" s="143"/>
      <c r="E174" s="143"/>
      <c r="F174" s="52" t="s">
        <v>121</v>
      </c>
      <c r="G174" s="143"/>
      <c r="H174" s="57"/>
      <c r="P174" s="4"/>
    </row>
    <row r="175" spans="1:16" ht="18" x14ac:dyDescent="0.25">
      <c r="A175" s="8"/>
      <c r="B175" s="8"/>
      <c r="C175" s="8"/>
      <c r="D175" s="8"/>
      <c r="E175" s="8"/>
      <c r="F175" s="52"/>
      <c r="G175" s="8"/>
      <c r="H175" s="57"/>
      <c r="P175" s="4"/>
    </row>
    <row r="176" spans="1:16" x14ac:dyDescent="0.25">
      <c r="A176" s="8"/>
      <c r="B176" s="8"/>
      <c r="C176" s="8"/>
      <c r="D176" s="8"/>
      <c r="E176" s="8"/>
      <c r="F176" s="8"/>
      <c r="G176" s="8"/>
      <c r="H176" s="57"/>
      <c r="P176" s="4"/>
    </row>
    <row r="177" spans="1:16" x14ac:dyDescent="0.25">
      <c r="A177" s="8"/>
      <c r="B177" s="8"/>
      <c r="C177" s="8"/>
      <c r="D177" s="8"/>
      <c r="E177" s="8"/>
      <c r="F177" s="8"/>
      <c r="G177" s="8"/>
      <c r="H177" s="57"/>
      <c r="P177" s="4"/>
    </row>
    <row r="178" spans="1:16" x14ac:dyDescent="0.25">
      <c r="A178" s="8"/>
      <c r="B178" s="8"/>
      <c r="C178" s="8"/>
      <c r="D178" s="8"/>
      <c r="E178" s="8"/>
      <c r="F178" s="8"/>
      <c r="G178" s="8"/>
      <c r="H178" s="57"/>
      <c r="P178" s="4"/>
    </row>
    <row r="179" spans="1:16" x14ac:dyDescent="0.25">
      <c r="A179" s="8"/>
      <c r="B179" s="8"/>
      <c r="C179" s="8"/>
      <c r="D179" s="8"/>
      <c r="E179" s="8"/>
      <c r="G179" s="8"/>
      <c r="H179" s="57"/>
      <c r="P179" s="4"/>
    </row>
    <row r="180" spans="1:16" x14ac:dyDescent="0.25">
      <c r="A180" s="8"/>
      <c r="B180" s="8"/>
      <c r="C180" s="8"/>
      <c r="D180" s="8"/>
      <c r="E180" s="8"/>
      <c r="G180" s="8"/>
      <c r="H180" s="9"/>
      <c r="P180" s="4"/>
    </row>
    <row r="181" spans="1:16" ht="18" x14ac:dyDescent="0.25">
      <c r="A181" s="8"/>
      <c r="B181" s="8"/>
      <c r="C181" s="8"/>
      <c r="D181" s="8"/>
      <c r="E181" s="8"/>
      <c r="F181" s="52"/>
      <c r="G181" s="8"/>
      <c r="H181" s="9"/>
      <c r="P181" s="4"/>
    </row>
    <row r="182" spans="1:16" x14ac:dyDescent="0.25">
      <c r="A182" s="8"/>
      <c r="B182" s="8"/>
      <c r="C182" s="8"/>
      <c r="D182" s="8"/>
      <c r="E182" s="8"/>
      <c r="F182" s="8"/>
      <c r="G182" s="8"/>
      <c r="H182" s="9"/>
      <c r="P182" s="4"/>
    </row>
    <row r="183" spans="1:16" x14ac:dyDescent="0.25">
      <c r="A183" s="8"/>
      <c r="B183" s="8"/>
      <c r="C183" s="8"/>
      <c r="D183" s="8"/>
      <c r="E183" s="8"/>
      <c r="F183" s="8"/>
      <c r="G183" s="8"/>
      <c r="H183" s="9"/>
      <c r="P183" s="4"/>
    </row>
    <row r="184" spans="1:16" x14ac:dyDescent="0.25">
      <c r="A184" s="8"/>
      <c r="B184" s="8"/>
      <c r="C184" s="8"/>
      <c r="D184" s="8"/>
      <c r="E184" s="8"/>
      <c r="F184" s="8"/>
      <c r="G184" s="8"/>
      <c r="H184" s="9"/>
      <c r="P184" s="4"/>
    </row>
    <row r="185" spans="1:16" x14ac:dyDescent="0.25">
      <c r="P185" s="4"/>
    </row>
    <row r="186" spans="1:16" x14ac:dyDescent="0.25">
      <c r="P186" s="4"/>
    </row>
    <row r="187" spans="1:16" x14ac:dyDescent="0.25">
      <c r="P187" s="4"/>
    </row>
    <row r="188" spans="1:16" x14ac:dyDescent="0.25">
      <c r="P188" s="4"/>
    </row>
    <row r="189" spans="1:16" x14ac:dyDescent="0.25">
      <c r="P189" s="4"/>
    </row>
    <row r="190" spans="1:16" x14ac:dyDescent="0.25">
      <c r="P190" s="4"/>
    </row>
    <row r="191" spans="1:16" x14ac:dyDescent="0.25">
      <c r="P191" s="4"/>
    </row>
    <row r="192" spans="1:16" x14ac:dyDescent="0.25">
      <c r="P192" s="4"/>
    </row>
    <row r="193" spans="16:16" x14ac:dyDescent="0.25">
      <c r="P193" s="4"/>
    </row>
    <row r="194" spans="16:16" x14ac:dyDescent="0.25">
      <c r="P194" s="4"/>
    </row>
    <row r="195" spans="16:16" x14ac:dyDescent="0.25">
      <c r="P195" s="4"/>
    </row>
    <row r="196" spans="16:16" x14ac:dyDescent="0.25">
      <c r="P196" s="4"/>
    </row>
    <row r="197" spans="16:16" x14ac:dyDescent="0.25">
      <c r="P197" s="4"/>
    </row>
    <row r="198" spans="16:16" x14ac:dyDescent="0.25">
      <c r="P198" s="4"/>
    </row>
    <row r="199" spans="16:16" x14ac:dyDescent="0.25">
      <c r="P199" s="4"/>
    </row>
    <row r="200" spans="16:16" x14ac:dyDescent="0.25">
      <c r="P200" s="4"/>
    </row>
    <row r="201" spans="16:16" x14ac:dyDescent="0.25">
      <c r="P201" s="4"/>
    </row>
    <row r="202" spans="16:16" x14ac:dyDescent="0.25">
      <c r="P202" s="4"/>
    </row>
    <row r="203" spans="16:16" x14ac:dyDescent="0.25">
      <c r="P203" s="4"/>
    </row>
    <row r="204" spans="16:16" x14ac:dyDescent="0.25">
      <c r="P204" s="4"/>
    </row>
    <row r="205" spans="16:16" x14ac:dyDescent="0.25">
      <c r="P205" s="4"/>
    </row>
    <row r="206" spans="16:16" x14ac:dyDescent="0.25">
      <c r="P206" s="4"/>
    </row>
    <row r="207" spans="16:16" x14ac:dyDescent="0.25">
      <c r="P207" s="4"/>
    </row>
    <row r="208" spans="16:16" x14ac:dyDescent="0.25">
      <c r="P208" s="4"/>
    </row>
    <row r="209" spans="16:16" x14ac:dyDescent="0.25">
      <c r="P209" s="4"/>
    </row>
    <row r="210" spans="16:16" x14ac:dyDescent="0.25">
      <c r="P210" s="4"/>
    </row>
    <row r="211" spans="16:16" x14ac:dyDescent="0.25">
      <c r="P211" s="4"/>
    </row>
    <row r="212" spans="16:16" x14ac:dyDescent="0.25">
      <c r="P212" s="4"/>
    </row>
    <row r="213" spans="16:16" x14ac:dyDescent="0.25">
      <c r="P213" s="4"/>
    </row>
    <row r="214" spans="16:16" x14ac:dyDescent="0.25">
      <c r="P214" s="4"/>
    </row>
    <row r="215" spans="16:16" x14ac:dyDescent="0.25">
      <c r="P215" s="4"/>
    </row>
    <row r="216" spans="16:16" x14ac:dyDescent="0.25">
      <c r="P216" s="4"/>
    </row>
    <row r="217" spans="16:16" x14ac:dyDescent="0.25">
      <c r="P217" s="4"/>
    </row>
    <row r="218" spans="16:16" x14ac:dyDescent="0.25">
      <c r="P218" s="4"/>
    </row>
    <row r="219" spans="16:16" x14ac:dyDescent="0.25">
      <c r="P219" s="4"/>
    </row>
    <row r="220" spans="16:16" x14ac:dyDescent="0.25">
      <c r="P220" s="4"/>
    </row>
    <row r="221" spans="16:16" x14ac:dyDescent="0.25">
      <c r="P221" s="4"/>
    </row>
    <row r="222" spans="16:16" x14ac:dyDescent="0.25">
      <c r="P222" s="4"/>
    </row>
    <row r="223" spans="16:16" x14ac:dyDescent="0.25">
      <c r="P223" s="4"/>
    </row>
    <row r="224" spans="16:16" x14ac:dyDescent="0.25">
      <c r="P224" s="4"/>
    </row>
    <row r="225" spans="16:16" x14ac:dyDescent="0.25">
      <c r="P225" s="4"/>
    </row>
    <row r="226" spans="16:16" x14ac:dyDescent="0.25">
      <c r="P226" s="4"/>
    </row>
    <row r="227" spans="16:16" x14ac:dyDescent="0.25">
      <c r="P227" s="4"/>
    </row>
    <row r="228" spans="16:16" x14ac:dyDescent="0.25">
      <c r="P228" s="4"/>
    </row>
    <row r="229" spans="16:16" x14ac:dyDescent="0.25">
      <c r="P229" s="4"/>
    </row>
    <row r="230" spans="16:16" x14ac:dyDescent="0.25">
      <c r="P230" s="4"/>
    </row>
    <row r="231" spans="16:16" x14ac:dyDescent="0.25">
      <c r="P231" s="4"/>
    </row>
    <row r="232" spans="16:16" x14ac:dyDescent="0.25">
      <c r="P232" s="4"/>
    </row>
    <row r="233" spans="16:16" x14ac:dyDescent="0.25">
      <c r="P233" s="4"/>
    </row>
    <row r="234" spans="16:16" x14ac:dyDescent="0.25">
      <c r="P234" s="4"/>
    </row>
    <row r="235" spans="16:16" x14ac:dyDescent="0.25">
      <c r="P235" s="4"/>
    </row>
    <row r="236" spans="16:16" x14ac:dyDescent="0.25">
      <c r="P236" s="4"/>
    </row>
    <row r="237" spans="16:16" x14ac:dyDescent="0.25">
      <c r="P237" s="4"/>
    </row>
    <row r="238" spans="16:16" x14ac:dyDescent="0.25">
      <c r="P238" s="4"/>
    </row>
    <row r="239" spans="16:16" x14ac:dyDescent="0.25">
      <c r="P239" s="4"/>
    </row>
    <row r="240" spans="16:16" x14ac:dyDescent="0.25">
      <c r="P240" s="4"/>
    </row>
    <row r="241" spans="16:16" x14ac:dyDescent="0.25">
      <c r="P241" s="4"/>
    </row>
    <row r="242" spans="16:16" x14ac:dyDescent="0.25">
      <c r="P242" s="4"/>
    </row>
  </sheetData>
  <mergeCells count="4">
    <mergeCell ref="A5:H5"/>
    <mergeCell ref="A3:H3"/>
    <mergeCell ref="A4:H4"/>
    <mergeCell ref="A7:E7"/>
  </mergeCells>
  <pageMargins left="0.9055118110236221" right="0.9055118110236221" top="0.74803149606299213" bottom="0.55118110236220474" header="0.31496062992125984" footer="0.31496062992125984"/>
  <pageSetup paperSize="5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2026</vt:lpstr>
      <vt:lpstr>'JUNIO 2026'!Área_de_impresión</vt:lpstr>
      <vt:lpstr>'JUNIO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2026-07-13T18:35:23Z</cp:lastPrinted>
  <dcterms:created xsi:type="dcterms:W3CDTF">2015-06-05T18:19:34Z</dcterms:created>
  <dcterms:modified xsi:type="dcterms:W3CDTF">2026-07-13T18:36:41Z</dcterms:modified>
</cp:coreProperties>
</file>